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A工作\2021年第二期\排版\已排版\"/>
    </mc:Choice>
  </mc:AlternateContent>
  <bookViews>
    <workbookView xWindow="0" yWindow="0" windowWidth="28800" windowHeight="12045"/>
  </bookViews>
  <sheets>
    <sheet name="亚得里亚海银行任务" sheetId="2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J29" i="2"/>
  <c r="E91" i="2" l="1"/>
  <c r="D75" i="2"/>
  <c r="C75" i="2"/>
  <c r="D69" i="2"/>
  <c r="C69" i="2"/>
  <c r="D55" i="2"/>
  <c r="F75" i="2" s="1"/>
  <c r="C55" i="2"/>
  <c r="D49" i="2"/>
  <c r="C49" i="2"/>
  <c r="D7" i="2"/>
  <c r="F7" i="2" l="1"/>
  <c r="J28" i="2"/>
  <c r="F55" i="2"/>
  <c r="C93" i="2"/>
  <c r="E71" i="2" l="1"/>
  <c r="E51" i="2"/>
  <c r="J38" i="2"/>
  <c r="J37" i="2"/>
  <c r="K6" i="2"/>
  <c r="K7" i="2"/>
  <c r="K8" i="2"/>
  <c r="K9" i="2"/>
  <c r="K10" i="2"/>
  <c r="K11" i="2"/>
  <c r="K12" i="2"/>
  <c r="K13" i="2"/>
  <c r="K5" i="2"/>
  <c r="C23" i="2"/>
  <c r="C15" i="2"/>
  <c r="C26" i="2"/>
  <c r="E90" i="2" l="1"/>
  <c r="D94" i="2"/>
  <c r="C94" i="2"/>
  <c r="D88" i="2"/>
  <c r="C88" i="2"/>
  <c r="F18" i="2"/>
  <c r="J36" i="2"/>
  <c r="D22" i="2"/>
  <c r="J31" i="2" s="1"/>
  <c r="C53" i="2" s="1"/>
  <c r="F13" i="2"/>
  <c r="D13" i="2" s="1"/>
  <c r="F12" i="2"/>
  <c r="F10" i="2"/>
  <c r="F9" i="2"/>
  <c r="J21" i="2"/>
  <c r="J20" i="2"/>
  <c r="J19" i="2"/>
  <c r="J18" i="2"/>
  <c r="C35" i="2"/>
  <c r="E35" i="2"/>
  <c r="D35" i="2"/>
  <c r="C52" i="2" l="1"/>
  <c r="F35" i="2"/>
  <c r="F36" i="2" s="1"/>
  <c r="D9" i="2"/>
  <c r="D52" i="2"/>
  <c r="E52" i="2" s="1"/>
  <c r="D68" i="2"/>
  <c r="D48" i="2"/>
  <c r="C68" i="2"/>
  <c r="C48" i="2"/>
  <c r="E68" i="2"/>
  <c r="E48" i="2"/>
  <c r="E87" i="2" s="1"/>
  <c r="D54" i="2"/>
  <c r="G94" i="2"/>
  <c r="D10" i="2"/>
  <c r="J26" i="2" s="1"/>
  <c r="C91" i="2"/>
  <c r="G88" i="2"/>
  <c r="D87" i="2"/>
  <c r="J22" i="2"/>
  <c r="K22" i="2" s="1"/>
  <c r="D12" i="2"/>
  <c r="D19" i="2"/>
  <c r="J27" i="2" l="1"/>
  <c r="J25" i="2" s="1"/>
  <c r="D91" i="2"/>
  <c r="F91" i="2" s="1"/>
  <c r="C71" i="2"/>
  <c r="C73" i="2"/>
  <c r="C51" i="2"/>
  <c r="C90" i="2" s="1"/>
  <c r="F48" i="2"/>
  <c r="F68" i="2"/>
  <c r="E54" i="2"/>
  <c r="F74" i="2" s="1"/>
  <c r="D93" i="2"/>
  <c r="F93" i="2" s="1"/>
  <c r="F52" i="2"/>
  <c r="J32" i="2"/>
  <c r="C87" i="2"/>
  <c r="G87" i="2" s="1"/>
  <c r="F72" i="2"/>
  <c r="F39" i="2"/>
  <c r="F40" i="2" s="1"/>
  <c r="F31" i="2"/>
  <c r="F32" i="2" s="1"/>
  <c r="C33" i="2" s="1"/>
  <c r="M21" i="2"/>
  <c r="L19" i="2"/>
  <c r="G93" i="2" l="1"/>
  <c r="D71" i="2"/>
  <c r="D51" i="2"/>
  <c r="F51" i="2" s="1"/>
  <c r="D73" i="2"/>
  <c r="D53" i="2"/>
  <c r="D92" i="2" s="1"/>
  <c r="F54" i="2"/>
  <c r="F73" i="2"/>
  <c r="C92" i="2"/>
  <c r="G91" i="2"/>
  <c r="D41" i="2"/>
  <c r="E41" i="2"/>
  <c r="C41" i="2"/>
  <c r="M20" i="2"/>
  <c r="M22" i="2" s="1"/>
  <c r="L18" i="2"/>
  <c r="L22" i="2" s="1"/>
  <c r="F71" i="2" l="1"/>
  <c r="F53" i="2"/>
  <c r="C79" i="2"/>
  <c r="C59" i="2"/>
  <c r="C98" i="2" s="1"/>
  <c r="D79" i="2"/>
  <c r="D59" i="2"/>
  <c r="D98" i="2" s="1"/>
  <c r="C78" i="2"/>
  <c r="C58" i="2"/>
  <c r="E78" i="2"/>
  <c r="E58" i="2"/>
  <c r="E97" i="2" s="1"/>
  <c r="F97" i="2" s="1"/>
  <c r="G92" i="2"/>
  <c r="D78" i="2"/>
  <c r="D58" i="2"/>
  <c r="D97" i="2" s="1"/>
  <c r="D90" i="2"/>
  <c r="G90" i="2" s="1"/>
  <c r="E33" i="2"/>
  <c r="D33" i="2"/>
  <c r="E37" i="2"/>
  <c r="C37" i="2"/>
  <c r="D37" i="2"/>
  <c r="J39" i="2"/>
  <c r="G98" i="2" l="1"/>
  <c r="F58" i="2"/>
  <c r="F78" i="2"/>
  <c r="D77" i="2"/>
  <c r="D57" i="2"/>
  <c r="D96" i="2" s="1"/>
  <c r="C77" i="2"/>
  <c r="C57" i="2"/>
  <c r="D76" i="2"/>
  <c r="D56" i="2"/>
  <c r="C56" i="2"/>
  <c r="C76" i="2"/>
  <c r="J40" i="2"/>
  <c r="J41" i="2" s="1"/>
  <c r="J42" i="2" s="1"/>
  <c r="E77" i="2"/>
  <c r="E57" i="2"/>
  <c r="C97" i="2"/>
  <c r="G97" i="2" s="1"/>
  <c r="E76" i="2"/>
  <c r="E56" i="2"/>
  <c r="F79" i="2"/>
  <c r="F59" i="2"/>
  <c r="F57" i="2" l="1"/>
  <c r="E95" i="2"/>
  <c r="E60" i="2"/>
  <c r="E61" i="2" s="1"/>
  <c r="F76" i="2"/>
  <c r="F56" i="2"/>
  <c r="C60" i="2"/>
  <c r="C61" i="2" s="1"/>
  <c r="C95" i="2"/>
  <c r="C99" i="2" s="1"/>
  <c r="C100" i="2" s="1"/>
  <c r="C80" i="2"/>
  <c r="C81" i="2" s="1"/>
  <c r="E80" i="2"/>
  <c r="E81" i="2" s="1"/>
  <c r="D60" i="2"/>
  <c r="D61" i="2" s="1"/>
  <c r="C96" i="2"/>
  <c r="D80" i="2"/>
  <c r="D81" i="2" s="1"/>
  <c r="F77" i="2"/>
  <c r="E96" i="2"/>
  <c r="F96" i="2" s="1"/>
  <c r="D95" i="2"/>
  <c r="D99" i="2" s="1"/>
  <c r="D100" i="2" s="1"/>
  <c r="F60" i="2" l="1"/>
  <c r="F61" i="2" s="1"/>
  <c r="F80" i="2"/>
  <c r="F81" i="2" s="1"/>
  <c r="G96" i="2"/>
  <c r="F95" i="2"/>
  <c r="F99" i="2" s="1"/>
  <c r="E99" i="2"/>
  <c r="E100" i="2" s="1"/>
  <c r="G95" i="2" l="1"/>
  <c r="G99" i="2" s="1"/>
  <c r="G100" i="2" l="1"/>
</calcChain>
</file>

<file path=xl/sharedStrings.xml><?xml version="1.0" encoding="utf-8"?>
<sst xmlns="http://schemas.openxmlformats.org/spreadsheetml/2006/main" count="166" uniqueCount="106">
  <si>
    <t>-</t>
  </si>
  <si>
    <t xml:space="preserve"> </t>
  </si>
  <si>
    <t>N.A.</t>
  </si>
  <si>
    <t>表6B</t>
    <phoneticPr fontId="10" type="noConversion"/>
  </si>
  <si>
    <t>不考虑转移价格影响的部门报告</t>
    <phoneticPr fontId="10" type="noConversion"/>
  </si>
  <si>
    <t>金融资产</t>
    <phoneticPr fontId="10" type="noConversion"/>
  </si>
  <si>
    <t>金融负债</t>
    <phoneticPr fontId="10" type="noConversion"/>
  </si>
  <si>
    <t>利息收入</t>
  </si>
  <si>
    <t>利息收入</t>
    <phoneticPr fontId="10" type="noConversion"/>
  </si>
  <si>
    <t>资金的市场(机会)成本（MIR）</t>
    <phoneticPr fontId="10" type="noConversion"/>
  </si>
  <si>
    <t>利息费用</t>
    <phoneticPr fontId="10" type="noConversion"/>
  </si>
  <si>
    <t>资金的市场(机会)收入（MIR）</t>
    <phoneticPr fontId="10" type="noConversion"/>
  </si>
  <si>
    <t>手续费净额</t>
  </si>
  <si>
    <t>手续费净额</t>
    <phoneticPr fontId="10" type="noConversion"/>
  </si>
  <si>
    <t>人工成本</t>
  </si>
  <si>
    <t>人工成本</t>
    <phoneticPr fontId="10" type="noConversion"/>
  </si>
  <si>
    <t>管理费用</t>
  </si>
  <si>
    <t>管理费用</t>
    <phoneticPr fontId="10" type="noConversion"/>
  </si>
  <si>
    <t>折旧费</t>
  </si>
  <si>
    <t>折旧费</t>
    <phoneticPr fontId="10" type="noConversion"/>
  </si>
  <si>
    <t>减值</t>
  </si>
  <si>
    <t>减值</t>
    <phoneticPr fontId="10" type="noConversion"/>
  </si>
  <si>
    <t>毛利</t>
  </si>
  <si>
    <t>毛利</t>
    <phoneticPr fontId="10" type="noConversion"/>
  </si>
  <si>
    <t>资产收益率</t>
    <phoneticPr fontId="10" type="noConversion"/>
  </si>
  <si>
    <t>企业部门</t>
    <phoneticPr fontId="10" type="noConversion"/>
  </si>
  <si>
    <t>零售部门</t>
    <phoneticPr fontId="10" type="noConversion"/>
  </si>
  <si>
    <t>资金部</t>
    <phoneticPr fontId="10" type="noConversion"/>
  </si>
  <si>
    <t>合计</t>
    <phoneticPr fontId="10" type="noConversion"/>
  </si>
  <si>
    <t>市场</t>
    <phoneticPr fontId="10" type="noConversion"/>
  </si>
  <si>
    <t>表7：资金部利润分解和资产负债管理</t>
    <phoneticPr fontId="10" type="noConversion"/>
  </si>
  <si>
    <t xml:space="preserve">作者对本杰明·卡塔兰为学生设计的模板表示由衷的感谢。  </t>
    <phoneticPr fontId="10" type="noConversion"/>
  </si>
  <si>
    <t>分部报告</t>
    <phoneticPr fontId="10" type="noConversion"/>
  </si>
  <si>
    <t>表6A</t>
    <phoneticPr fontId="10" type="noConversion"/>
  </si>
  <si>
    <t>表1</t>
    <phoneticPr fontId="10" type="noConversion"/>
  </si>
  <si>
    <t>资产</t>
    <phoneticPr fontId="10" type="noConversion"/>
  </si>
  <si>
    <t>现金</t>
    <phoneticPr fontId="10" type="noConversion"/>
  </si>
  <si>
    <t>有价证券——5年期</t>
    <phoneticPr fontId="10" type="noConversion"/>
  </si>
  <si>
    <t xml:space="preserve">  -平均5年期个人贷款</t>
    <phoneticPr fontId="10" type="noConversion"/>
  </si>
  <si>
    <t>贷款</t>
    <phoneticPr fontId="10" type="noConversion"/>
  </si>
  <si>
    <t xml:space="preserve">  -3年期企业贷款</t>
    <phoneticPr fontId="10" type="noConversion"/>
  </si>
  <si>
    <t>透支</t>
    <phoneticPr fontId="10" type="noConversion"/>
  </si>
  <si>
    <t xml:space="preserve">  -平均6个月零售透支</t>
    <phoneticPr fontId="10" type="noConversion"/>
  </si>
  <si>
    <t>固定资产</t>
    <phoneticPr fontId="10" type="noConversion"/>
  </si>
  <si>
    <t xml:space="preserve">  -平均3个月企业透支</t>
    <phoneticPr fontId="10" type="noConversion"/>
  </si>
  <si>
    <t>资产总额</t>
    <phoneticPr fontId="10" type="noConversion"/>
  </si>
  <si>
    <t>负债</t>
    <phoneticPr fontId="10" type="noConversion"/>
  </si>
  <si>
    <t>零售存款</t>
    <phoneticPr fontId="10" type="noConversion"/>
  </si>
  <si>
    <t xml:space="preserve">   -活期</t>
    <phoneticPr fontId="10" type="noConversion"/>
  </si>
  <si>
    <t xml:space="preserve">   -平均3个月定期</t>
    <phoneticPr fontId="10" type="noConversion"/>
  </si>
  <si>
    <t>企业存款</t>
    <phoneticPr fontId="10" type="noConversion"/>
  </si>
  <si>
    <t>负债总额</t>
    <phoneticPr fontId="10" type="noConversion"/>
  </si>
  <si>
    <t>所有者权益</t>
    <phoneticPr fontId="10" type="noConversion"/>
  </si>
  <si>
    <t>实收资本</t>
    <phoneticPr fontId="10" type="noConversion"/>
  </si>
  <si>
    <t>所有者权益总额</t>
    <phoneticPr fontId="10" type="noConversion"/>
  </si>
  <si>
    <t>实际利率</t>
    <phoneticPr fontId="10" type="noConversion"/>
  </si>
  <si>
    <t>风险溢价</t>
    <phoneticPr fontId="10" type="noConversion"/>
  </si>
  <si>
    <t>转移价格</t>
    <phoneticPr fontId="10" type="noConversion"/>
  </si>
  <si>
    <t>表2</t>
    <phoneticPr fontId="10" type="noConversion"/>
  </si>
  <si>
    <t>表3</t>
    <phoneticPr fontId="10" type="noConversion"/>
  </si>
  <si>
    <t>人工成本</t>
    <phoneticPr fontId="10" type="noConversion"/>
  </si>
  <si>
    <t>员工人数</t>
    <phoneticPr fontId="10" type="noConversion"/>
  </si>
  <si>
    <t>成本率</t>
    <phoneticPr fontId="10" type="noConversion"/>
  </si>
  <si>
    <t>每个部门的成本</t>
    <phoneticPr fontId="10" type="noConversion"/>
  </si>
  <si>
    <t>管理费用</t>
    <phoneticPr fontId="10" type="noConversion"/>
  </si>
  <si>
    <t>资产组合的数量</t>
    <phoneticPr fontId="10" type="noConversion"/>
  </si>
  <si>
    <t>折旧与摊销</t>
    <phoneticPr fontId="10" type="noConversion"/>
  </si>
  <si>
    <t>办公空间（平方米）</t>
    <phoneticPr fontId="10" type="noConversion"/>
  </si>
  <si>
    <t>任务6只是删除了机会成本和收入，然后观察其对盈利能力的影响。</t>
    <phoneticPr fontId="10" type="noConversion"/>
  </si>
  <si>
    <t>你看到了什么结果？哪一种系统更好？</t>
    <phoneticPr fontId="10" type="noConversion"/>
  </si>
  <si>
    <t>期限</t>
    <phoneticPr fontId="10" type="noConversion"/>
  </si>
  <si>
    <t>1个月</t>
    <phoneticPr fontId="10" type="noConversion"/>
  </si>
  <si>
    <t>3个月</t>
    <phoneticPr fontId="10" type="noConversion"/>
  </si>
  <si>
    <t>6个月</t>
    <phoneticPr fontId="10" type="noConversion"/>
  </si>
  <si>
    <t>1年</t>
    <phoneticPr fontId="10" type="noConversion"/>
  </si>
  <si>
    <t>2年</t>
    <phoneticPr fontId="10" type="noConversion"/>
  </si>
  <si>
    <t>3年</t>
    <phoneticPr fontId="10" type="noConversion"/>
  </si>
  <si>
    <t>5年</t>
    <phoneticPr fontId="10" type="noConversion"/>
  </si>
  <si>
    <t>10年</t>
    <phoneticPr fontId="10" type="noConversion"/>
  </si>
  <si>
    <t>天数</t>
  </si>
  <si>
    <t>年数</t>
    <phoneticPr fontId="10" type="noConversion"/>
  </si>
  <si>
    <t>资金转移定价（FTP）</t>
  </si>
  <si>
    <t>1天</t>
    <phoneticPr fontId="10" type="noConversion"/>
  </si>
  <si>
    <t>贷款类型</t>
    <phoneticPr fontId="10" type="noConversion"/>
  </si>
  <si>
    <t>企业贷款</t>
    <phoneticPr fontId="10" type="noConversion"/>
  </si>
  <si>
    <t>企业透支</t>
    <phoneticPr fontId="10" type="noConversion"/>
  </si>
  <si>
    <t>零售贷款</t>
    <phoneticPr fontId="10" type="noConversion"/>
  </si>
  <si>
    <t>零售透支</t>
    <phoneticPr fontId="10" type="noConversion"/>
  </si>
  <si>
    <t>合计</t>
    <phoneticPr fontId="10" type="noConversion"/>
  </si>
  <si>
    <t>表4</t>
    <phoneticPr fontId="10" type="noConversion"/>
  </si>
  <si>
    <t>贷款金额</t>
    <phoneticPr fontId="10" type="noConversion"/>
  </si>
  <si>
    <t>减值计提比例</t>
    <phoneticPr fontId="10" type="noConversion"/>
  </si>
  <si>
    <t>减值金额</t>
    <phoneticPr fontId="10" type="noConversion"/>
  </si>
  <si>
    <t xml:space="preserve">企业部门 </t>
    <phoneticPr fontId="10" type="noConversion"/>
  </si>
  <si>
    <t>零售部门</t>
    <phoneticPr fontId="10" type="noConversion"/>
  </si>
  <si>
    <t xml:space="preserve">   -企业部门</t>
  </si>
  <si>
    <t xml:space="preserve">   -零售部门</t>
  </si>
  <si>
    <t xml:space="preserve">   -证券</t>
  </si>
  <si>
    <t xml:space="preserve">   -现金</t>
  </si>
  <si>
    <t>利息支出</t>
  </si>
  <si>
    <t>所得税</t>
  </si>
  <si>
    <t>净利润</t>
  </si>
  <si>
    <t>表5</t>
    <phoneticPr fontId="10" type="noConversion"/>
  </si>
  <si>
    <t>图2</t>
    <phoneticPr fontId="10" type="noConversion"/>
  </si>
  <si>
    <t>资产负债管理（ALM)</t>
    <phoneticPr fontId="10" type="noConversion"/>
  </si>
  <si>
    <t>案例学习：亚得里亚海银行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</si>
</sst>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%"/>
    <numFmt numFmtId="178" formatCode="#,##0.0"/>
    <numFmt numFmtId="179" formatCode="#,##0_);\(#,##0\);&quot;–&quot;_);@"/>
    <numFmt numFmtId="180" formatCode="#,##0.00%_);\(#,##0.00%\);&quot;–&quot;_);@"/>
    <numFmt numFmtId="181" formatCode="&quot;$&quot;#,##0.000_);\(&quot;$&quot;#,##0.000\);&quot;–&quot;_);@_)"/>
    <numFmt numFmtId="182" formatCode="#,##0.0_);\(#,##0.0\);&quot;–&quot;_);@"/>
  </numFmts>
  <fonts count="17" x14ac:knownFonts="1">
    <font>
      <sz val="10"/>
      <color theme="1"/>
      <name val="Arial"/>
      <family val="2"/>
      <charset val="238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color theme="1"/>
      <name val="Arial"/>
      <family val="2"/>
      <charset val="238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6"/>
      <color theme="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11"/>
      <color rgb="FF000000"/>
      <name val="宋体"/>
      <family val="2"/>
      <scheme val="minor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.5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2" fillId="3" borderId="2" xfId="0" applyFont="1" applyFill="1" applyBorder="1"/>
    <xf numFmtId="0" fontId="2" fillId="0" borderId="7" xfId="0" applyFont="1" applyBorder="1"/>
    <xf numFmtId="0" fontId="6" fillId="3" borderId="7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3" xfId="0" applyFont="1" applyBorder="1"/>
    <xf numFmtId="179" fontId="2" fillId="0" borderId="0" xfId="0" applyNumberFormat="1" applyFont="1" applyFill="1" applyBorder="1"/>
    <xf numFmtId="179" fontId="2" fillId="0" borderId="8" xfId="0" applyNumberFormat="1" applyFont="1" applyFill="1" applyBorder="1"/>
    <xf numFmtId="3" fontId="2" fillId="0" borderId="7" xfId="0" applyNumberFormat="1" applyFont="1" applyBorder="1"/>
    <xf numFmtId="177" fontId="2" fillId="0" borderId="0" xfId="0" applyNumberFormat="1" applyFont="1" applyBorder="1"/>
    <xf numFmtId="0" fontId="2" fillId="0" borderId="9" xfId="0" applyFont="1" applyBorder="1"/>
    <xf numFmtId="179" fontId="2" fillId="0" borderId="0" xfId="0" applyNumberFormat="1" applyFont="1" applyBorder="1"/>
    <xf numFmtId="179" fontId="2" fillId="0" borderId="0" xfId="0" applyNumberFormat="1" applyFont="1"/>
    <xf numFmtId="181" fontId="2" fillId="0" borderId="8" xfId="1" applyNumberFormat="1" applyFont="1" applyBorder="1"/>
    <xf numFmtId="0" fontId="5" fillId="0" borderId="7" xfId="0" applyFont="1" applyBorder="1"/>
    <xf numFmtId="0" fontId="5" fillId="0" borderId="0" xfId="0" applyFont="1" applyBorder="1"/>
    <xf numFmtId="0" fontId="6" fillId="3" borderId="8" xfId="0" applyFont="1" applyFill="1" applyBorder="1"/>
    <xf numFmtId="3" fontId="2" fillId="0" borderId="10" xfId="0" applyNumberFormat="1" applyFont="1" applyBorder="1"/>
    <xf numFmtId="177" fontId="2" fillId="0" borderId="1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180" fontId="2" fillId="0" borderId="11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0" fontId="6" fillId="3" borderId="2" xfId="0" applyFont="1" applyFill="1" applyBorder="1"/>
    <xf numFmtId="179" fontId="2" fillId="0" borderId="8" xfId="0" applyNumberFormat="1" applyFont="1" applyBorder="1"/>
    <xf numFmtId="2" fontId="2" fillId="0" borderId="1" xfId="0" applyNumberFormat="1" applyFont="1" applyFill="1" applyBorder="1"/>
    <xf numFmtId="10" fontId="2" fillId="0" borderId="6" xfId="0" applyNumberFormat="1" applyFont="1" applyFill="1" applyBorder="1"/>
    <xf numFmtId="0" fontId="2" fillId="0" borderId="7" xfId="0" applyFont="1" applyFill="1" applyBorder="1"/>
    <xf numFmtId="2" fontId="2" fillId="0" borderId="0" xfId="0" applyNumberFormat="1" applyFont="1" applyFill="1" applyBorder="1"/>
    <xf numFmtId="10" fontId="2" fillId="0" borderId="9" xfId="0" applyNumberFormat="1" applyFont="1" applyFill="1" applyBorder="1"/>
    <xf numFmtId="0" fontId="2" fillId="0" borderId="0" xfId="0" applyFont="1" applyFill="1" applyBorder="1"/>
    <xf numFmtId="179" fontId="2" fillId="0" borderId="10" xfId="0" applyNumberFormat="1" applyFont="1" applyFill="1" applyBorder="1"/>
    <xf numFmtId="179" fontId="2" fillId="0" borderId="11" xfId="0" applyNumberFormat="1" applyFont="1" applyFill="1" applyBorder="1"/>
    <xf numFmtId="179" fontId="2" fillId="0" borderId="5" xfId="0" applyNumberFormat="1" applyFont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7" fontId="2" fillId="0" borderId="9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2" fillId="0" borderId="11" xfId="0" applyFont="1" applyFill="1" applyBorder="1"/>
    <xf numFmtId="2" fontId="2" fillId="0" borderId="11" xfId="0" applyNumberFormat="1" applyFont="1" applyFill="1" applyBorder="1"/>
    <xf numFmtId="10" fontId="2" fillId="0" borderId="12" xfId="0" applyNumberFormat="1" applyFont="1" applyFill="1" applyBorder="1"/>
    <xf numFmtId="177" fontId="2" fillId="0" borderId="0" xfId="0" applyNumberFormat="1" applyFont="1" applyBorder="1" applyAlignment="1">
      <alignment horizontal="center"/>
    </xf>
    <xf numFmtId="177" fontId="2" fillId="0" borderId="9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/>
    </xf>
    <xf numFmtId="3" fontId="6" fillId="0" borderId="14" xfId="0" applyNumberFormat="1" applyFont="1" applyBorder="1"/>
    <xf numFmtId="177" fontId="2" fillId="0" borderId="15" xfId="0" applyNumberFormat="1" applyFont="1" applyBorder="1" applyAlignment="1">
      <alignment horizontal="center"/>
    </xf>
    <xf numFmtId="177" fontId="2" fillId="0" borderId="16" xfId="0" applyNumberFormat="1" applyFont="1" applyBorder="1" applyAlignment="1">
      <alignment horizontal="center"/>
    </xf>
    <xf numFmtId="3" fontId="6" fillId="0" borderId="7" xfId="0" applyNumberFormat="1" applyFont="1" applyBorder="1"/>
    <xf numFmtId="177" fontId="2" fillId="0" borderId="9" xfId="0" quotePrefix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179" fontId="6" fillId="0" borderId="8" xfId="0" applyNumberFormat="1" applyFont="1" applyFill="1" applyBorder="1"/>
    <xf numFmtId="3" fontId="6" fillId="0" borderId="17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79" fontId="6" fillId="0" borderId="19" xfId="0" applyNumberFormat="1" applyFont="1" applyBorder="1"/>
    <xf numFmtId="0" fontId="8" fillId="3" borderId="2" xfId="0" applyFont="1" applyFill="1" applyBorder="1"/>
    <xf numFmtId="0" fontId="9" fillId="0" borderId="0" xfId="0" applyFont="1" applyBorder="1"/>
    <xf numFmtId="0" fontId="8" fillId="3" borderId="7" xfId="0" applyFont="1" applyFill="1" applyBorder="1"/>
    <xf numFmtId="179" fontId="9" fillId="0" borderId="7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179" fontId="9" fillId="0" borderId="7" xfId="0" applyNumberFormat="1" applyFont="1" applyBorder="1"/>
    <xf numFmtId="179" fontId="9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177" fontId="9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9" fillId="0" borderId="0" xfId="0" applyNumberFormat="1" applyFont="1" applyBorder="1"/>
    <xf numFmtId="178" fontId="9" fillId="0" borderId="0" xfId="0" applyNumberFormat="1" applyFont="1" applyBorder="1"/>
    <xf numFmtId="178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0" fontId="9" fillId="0" borderId="0" xfId="0" applyFont="1" applyFill="1" applyBorder="1"/>
    <xf numFmtId="176" fontId="9" fillId="0" borderId="0" xfId="0" applyNumberFormat="1" applyFont="1" applyBorder="1"/>
    <xf numFmtId="0" fontId="4" fillId="2" borderId="0" xfId="0" applyFont="1" applyFill="1"/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79" fontId="8" fillId="0" borderId="7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9" fillId="0" borderId="7" xfId="0" applyNumberFormat="1" applyFont="1" applyFill="1" applyBorder="1"/>
    <xf numFmtId="179" fontId="9" fillId="0" borderId="0" xfId="0" applyNumberFormat="1" applyFont="1" applyFill="1" applyBorder="1"/>
    <xf numFmtId="179" fontId="9" fillId="0" borderId="10" xfId="0" applyNumberFormat="1" applyFont="1" applyFill="1" applyBorder="1"/>
    <xf numFmtId="179" fontId="9" fillId="0" borderId="11" xfId="0" applyNumberFormat="1" applyFont="1" applyFill="1" applyBorder="1"/>
    <xf numFmtId="179" fontId="8" fillId="0" borderId="7" xfId="0" applyNumberFormat="1" applyFont="1" applyFill="1" applyBorder="1"/>
    <xf numFmtId="179" fontId="8" fillId="0" borderId="0" xfId="0" applyNumberFormat="1" applyFont="1" applyFill="1" applyBorder="1"/>
    <xf numFmtId="180" fontId="8" fillId="0" borderId="10" xfId="0" applyNumberFormat="1" applyFont="1" applyFill="1" applyBorder="1"/>
    <xf numFmtId="180" fontId="8" fillId="0" borderId="11" xfId="0" applyNumberFormat="1" applyFont="1" applyFill="1" applyBorder="1"/>
    <xf numFmtId="0" fontId="8" fillId="0" borderId="3" xfId="0" applyFont="1" applyBorder="1" applyAlignment="1"/>
    <xf numFmtId="179" fontId="9" fillId="0" borderId="8" xfId="0" applyNumberFormat="1" applyFont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179" fontId="8" fillId="0" borderId="8" xfId="0" applyNumberFormat="1" applyFont="1" applyFill="1" applyBorder="1"/>
    <xf numFmtId="180" fontId="8" fillId="0" borderId="5" xfId="0" applyNumberFormat="1" applyFont="1" applyFill="1" applyBorder="1"/>
    <xf numFmtId="0" fontId="8" fillId="3" borderId="6" xfId="0" applyFont="1" applyFill="1" applyBorder="1" applyAlignment="1">
      <alignment horizontal="right"/>
    </xf>
    <xf numFmtId="179" fontId="9" fillId="0" borderId="11" xfId="0" applyNumberFormat="1" applyFont="1" applyBorder="1"/>
    <xf numFmtId="180" fontId="8" fillId="0" borderId="10" xfId="0" applyNumberFormat="1" applyFont="1" applyBorder="1"/>
    <xf numFmtId="180" fontId="8" fillId="0" borderId="11" xfId="0" applyNumberFormat="1" applyFont="1" applyBorder="1"/>
    <xf numFmtId="180" fontId="8" fillId="0" borderId="5" xfId="0" applyNumberFormat="1" applyFont="1" applyBorder="1"/>
    <xf numFmtId="179" fontId="1" fillId="0" borderId="0" xfId="0" applyNumberFormat="1" applyFont="1" applyFill="1" applyBorder="1"/>
    <xf numFmtId="179" fontId="9" fillId="0" borderId="10" xfId="0" applyNumberFormat="1" applyFont="1" applyBorder="1"/>
    <xf numFmtId="179" fontId="8" fillId="0" borderId="2" xfId="0" applyNumberFormat="1" applyFont="1" applyFill="1" applyBorder="1" applyAlignment="1">
      <alignment horizontal="right"/>
    </xf>
    <xf numFmtId="179" fontId="8" fillId="0" borderId="1" xfId="0" applyNumberFormat="1" applyFont="1" applyFill="1" applyBorder="1" applyAlignment="1">
      <alignment horizontal="right"/>
    </xf>
    <xf numFmtId="179" fontId="8" fillId="0" borderId="3" xfId="0" applyNumberFormat="1" applyFont="1" applyFill="1" applyBorder="1" applyAlignment="1">
      <alignment horizontal="right"/>
    </xf>
    <xf numFmtId="179" fontId="9" fillId="0" borderId="8" xfId="0" applyNumberFormat="1" applyFont="1" applyFill="1" applyBorder="1" applyAlignment="1">
      <alignment horizontal="right"/>
    </xf>
    <xf numFmtId="179" fontId="9" fillId="0" borderId="5" xfId="0" applyNumberFormat="1" applyFont="1" applyBorder="1"/>
    <xf numFmtId="179" fontId="8" fillId="0" borderId="7" xfId="0" applyNumberFormat="1" applyFont="1" applyBorder="1"/>
    <xf numFmtId="179" fontId="8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182" fontId="9" fillId="0" borderId="0" xfId="0" applyNumberFormat="1" applyFont="1" applyFill="1" applyBorder="1"/>
    <xf numFmtId="180" fontId="8" fillId="0" borderId="0" xfId="0" applyNumberFormat="1" applyFont="1" applyBorder="1"/>
    <xf numFmtId="0" fontId="8" fillId="4" borderId="0" xfId="0" applyFont="1" applyFill="1" applyBorder="1"/>
    <xf numFmtId="179" fontId="9" fillId="4" borderId="0" xfId="0" applyNumberFormat="1" applyFont="1" applyFill="1" applyBorder="1"/>
    <xf numFmtId="179" fontId="2" fillId="4" borderId="0" xfId="0" applyNumberFormat="1" applyFont="1" applyFill="1" applyBorder="1"/>
    <xf numFmtId="177" fontId="2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2" fillId="3" borderId="0" xfId="0" applyFont="1" applyFill="1" applyBorder="1" applyAlignment="1">
      <alignment horizontal="left" indent="1"/>
    </xf>
    <xf numFmtId="3" fontId="2" fillId="0" borderId="3" xfId="0" applyNumberFormat="1" applyFont="1" applyBorder="1"/>
    <xf numFmtId="0" fontId="11" fillId="5" borderId="20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11" fillId="5" borderId="21" xfId="0" applyFont="1" applyFill="1" applyBorder="1" applyAlignment="1">
      <alignment horizontal="left"/>
    </xf>
    <xf numFmtId="0" fontId="13" fillId="5" borderId="2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right"/>
    </xf>
    <xf numFmtId="0" fontId="13" fillId="5" borderId="24" xfId="0" applyFont="1" applyFill="1" applyBorder="1" applyAlignment="1">
      <alignment horizontal="right"/>
    </xf>
    <xf numFmtId="0" fontId="13" fillId="5" borderId="20" xfId="0" applyFont="1" applyFill="1" applyBorder="1" applyAlignment="1">
      <alignment horizontal="left"/>
    </xf>
    <xf numFmtId="0" fontId="14" fillId="5" borderId="25" xfId="0" applyFont="1" applyFill="1" applyBorder="1" applyAlignment="1">
      <alignment horizontal="left" indent="1"/>
    </xf>
    <xf numFmtId="0" fontId="13" fillId="5" borderId="25" xfId="0" applyFont="1" applyFill="1" applyBorder="1" applyAlignment="1">
      <alignment horizontal="left"/>
    </xf>
    <xf numFmtId="0" fontId="14" fillId="5" borderId="26" xfId="0" applyFont="1" applyFill="1" applyBorder="1" applyAlignment="1">
      <alignment horizontal="left" indent="1"/>
    </xf>
    <xf numFmtId="0" fontId="14" fillId="5" borderId="20" xfId="0" applyFont="1" applyFill="1" applyBorder="1" applyAlignment="1">
      <alignment horizontal="left"/>
    </xf>
    <xf numFmtId="0" fontId="15" fillId="5" borderId="20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6" fillId="6" borderId="0" xfId="0" applyFont="1" applyFill="1" applyAlignment="1">
      <alignment horizontal="right"/>
    </xf>
    <xf numFmtId="0" fontId="13" fillId="5" borderId="22" xfId="0" applyFont="1" applyFill="1" applyBorder="1" applyAlignment="1">
      <alignment horizontal="center"/>
    </xf>
    <xf numFmtId="0" fontId="1" fillId="0" borderId="0" xfId="0" applyFont="1" applyFill="1"/>
    <xf numFmtId="0" fontId="13" fillId="5" borderId="27" xfId="0" applyFont="1" applyFill="1" applyBorder="1" applyAlignment="1">
      <alignment horizontal="left"/>
    </xf>
    <xf numFmtId="0" fontId="14" fillId="6" borderId="20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left" indent="1"/>
    </xf>
    <xf numFmtId="0" fontId="1" fillId="0" borderId="2" xfId="0" applyFont="1" applyBorder="1"/>
    <xf numFmtId="0" fontId="1" fillId="0" borderId="1" xfId="0" applyFont="1" applyBorder="1"/>
    <xf numFmtId="0" fontId="13" fillId="6" borderId="0" xfId="0" applyFont="1" applyFill="1" applyAlignment="1">
      <alignment horizontal="right"/>
    </xf>
    <xf numFmtId="0" fontId="13" fillId="6" borderId="28" xfId="0" applyFont="1" applyFill="1" applyBorder="1" applyAlignment="1">
      <alignment horizontal="right"/>
    </xf>
    <xf numFmtId="0" fontId="14" fillId="5" borderId="27" xfId="0" applyFont="1" applyFill="1" applyBorder="1" applyAlignment="1">
      <alignment horizontal="left"/>
    </xf>
    <xf numFmtId="0" fontId="14" fillId="5" borderId="29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940" baseline="0"/>
              <a:t>到期年限</a:t>
            </a:r>
            <a:endParaRPr lang="sl-SI" sz="940" baseline="0"/>
          </a:p>
        </c:rich>
      </c:tx>
      <c:layout>
        <c:manualLayout>
          <c:xMode val="edge"/>
          <c:yMode val="edge"/>
          <c:x val="0.78344777253423925"/>
          <c:y val="0.831528936137249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55397093743915E-2"/>
          <c:y val="0.12287514555060867"/>
          <c:w val="0.8690524081592359"/>
          <c:h val="0.78656132921672506"/>
        </c:manualLayout>
      </c:layout>
      <c:scatterChart>
        <c:scatterStyle val="lineMarker"/>
        <c:varyColors val="0"/>
        <c:ser>
          <c:idx val="0"/>
          <c:order val="0"/>
          <c:tx>
            <c:strRef>
              <c:f>亚得里亚海银行任务!$L$4</c:f>
              <c:strCache>
                <c:ptCount val="1"/>
                <c:pt idx="0">
                  <c:v>资金转移定价（FTP）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亚得里亚海银行任务!$K$5:$K$13</c:f>
              <c:numCache>
                <c:formatCode>0.00</c:formatCode>
                <c:ptCount val="9"/>
                <c:pt idx="0">
                  <c:v>2.7397260273972603E-3</c:v>
                </c:pt>
                <c:pt idx="1">
                  <c:v>8.2191780821917804E-2</c:v>
                </c:pt>
                <c:pt idx="2">
                  <c:v>0.24931506849315069</c:v>
                </c:pt>
                <c:pt idx="3">
                  <c:v>0.50136986301369868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</c:numCache>
            </c:numRef>
          </c:xVal>
          <c:yVal>
            <c:numRef>
              <c:f>亚得里亚海银行任务!$L$5:$L$13</c:f>
              <c:numCache>
                <c:formatCode>0.00%</c:formatCode>
                <c:ptCount val="9"/>
                <c:pt idx="0">
                  <c:v>0.01</c:v>
                </c:pt>
                <c:pt idx="1">
                  <c:v>1.4E-2</c:v>
                </c:pt>
                <c:pt idx="2">
                  <c:v>1.7000000000000001E-2</c:v>
                </c:pt>
                <c:pt idx="3">
                  <c:v>0.02</c:v>
                </c:pt>
                <c:pt idx="4">
                  <c:v>2.3E-2</c:v>
                </c:pt>
                <c:pt idx="5">
                  <c:v>2.9000000000000001E-2</c:v>
                </c:pt>
                <c:pt idx="6">
                  <c:v>3.4000000000000002E-2</c:v>
                </c:pt>
                <c:pt idx="7">
                  <c:v>0.04</c:v>
                </c:pt>
                <c:pt idx="8">
                  <c:v>0.05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0C-3249-90CE-20534EDE1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4280160"/>
        <c:axId val="-984278528"/>
      </c:scatterChart>
      <c:valAx>
        <c:axId val="-98428016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84278528"/>
        <c:crosses val="autoZero"/>
        <c:crossBetween val="midCat"/>
      </c:valAx>
      <c:valAx>
        <c:axId val="-98427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8428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3547</xdr:colOff>
      <xdr:row>3</xdr:row>
      <xdr:rowOff>107</xdr:rowOff>
    </xdr:from>
    <xdr:to>
      <xdr:col>21</xdr:col>
      <xdr:colOff>132510</xdr:colOff>
      <xdr:row>22</xdr:row>
      <xdr:rowOff>74380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showGridLines="0" tabSelected="1" zoomScale="70" zoomScaleNormal="70" zoomScalePageLayoutView="85" workbookViewId="0">
      <selection activeCell="B55" sqref="B55"/>
    </sheetView>
  </sheetViews>
  <sheetFormatPr defaultColWidth="10.7109375" defaultRowHeight="14.45" customHeight="1" x14ac:dyDescent="0.15"/>
  <cols>
    <col min="1" max="1" width="10.7109375" style="4"/>
    <col min="2" max="2" width="70" style="4" customWidth="1"/>
    <col min="3" max="5" width="15.7109375" style="4" customWidth="1"/>
    <col min="6" max="6" width="29.140625" style="4" customWidth="1"/>
    <col min="7" max="8" width="10.7109375" style="4" customWidth="1"/>
    <col min="9" max="9" width="30.7109375" style="4" customWidth="1"/>
    <col min="10" max="11" width="15.7109375" style="4" customWidth="1"/>
    <col min="12" max="12" width="23.28515625" style="4" customWidth="1"/>
    <col min="13" max="13" width="10.7109375" style="4" customWidth="1"/>
    <col min="14" max="16384" width="10.7109375" style="4"/>
  </cols>
  <sheetData>
    <row r="1" spans="1:16" s="1" customFormat="1" ht="20.25" x14ac:dyDescent="0.25">
      <c r="B1" s="2" t="s">
        <v>105</v>
      </c>
      <c r="C1" s="96"/>
      <c r="H1" s="3"/>
    </row>
    <row r="2" spans="1:16" ht="14.45" customHeight="1" x14ac:dyDescent="0.15">
      <c r="H2" s="5"/>
    </row>
    <row r="3" spans="1:16" ht="14.45" customHeight="1" thickBot="1" x14ac:dyDescent="0.2">
      <c r="B3" s="6" t="s">
        <v>34</v>
      </c>
      <c r="C3" s="5"/>
      <c r="D3" s="5"/>
      <c r="E3" s="5"/>
      <c r="F3" s="5"/>
      <c r="H3" s="5"/>
      <c r="I3" s="138" t="s">
        <v>58</v>
      </c>
      <c r="J3" s="5"/>
      <c r="K3" s="5"/>
      <c r="L3" s="5"/>
      <c r="M3" s="5"/>
      <c r="O3" s="139" t="s">
        <v>103</v>
      </c>
    </row>
    <row r="4" spans="1:16" ht="14.45" customHeight="1" thickBot="1" x14ac:dyDescent="0.2">
      <c r="A4" s="5"/>
      <c r="B4" s="32"/>
      <c r="C4" s="156"/>
      <c r="D4" s="156" t="s">
        <v>55</v>
      </c>
      <c r="E4" s="156" t="s">
        <v>56</v>
      </c>
      <c r="F4" s="145" t="s">
        <v>57</v>
      </c>
      <c r="G4" s="9"/>
      <c r="H4" s="5"/>
      <c r="I4" s="32" t="s">
        <v>70</v>
      </c>
      <c r="J4" s="146" t="s">
        <v>79</v>
      </c>
      <c r="K4" s="156" t="s">
        <v>80</v>
      </c>
      <c r="L4" s="147" t="s">
        <v>81</v>
      </c>
      <c r="N4" s="5"/>
    </row>
    <row r="5" spans="1:16" ht="14.45" customHeight="1" x14ac:dyDescent="0.15">
      <c r="A5" s="5"/>
      <c r="B5" s="142" t="s">
        <v>35</v>
      </c>
      <c r="C5" s="45"/>
      <c r="D5" s="46"/>
      <c r="E5" s="46"/>
      <c r="F5" s="47"/>
      <c r="G5" s="9"/>
      <c r="H5" s="5"/>
      <c r="I5" s="10" t="s">
        <v>82</v>
      </c>
      <c r="J5" s="11">
        <v>1</v>
      </c>
      <c r="K5" s="34">
        <f t="shared" ref="K5:K13" si="0">J5/365</f>
        <v>2.7397260273972603E-3</v>
      </c>
      <c r="L5" s="35">
        <v>0.01</v>
      </c>
      <c r="N5" s="5"/>
    </row>
    <row r="6" spans="1:16" ht="14.45" customHeight="1" x14ac:dyDescent="0.15">
      <c r="A6" s="5"/>
      <c r="B6" s="143" t="s">
        <v>36</v>
      </c>
      <c r="C6" s="16">
        <v>1000</v>
      </c>
      <c r="D6" s="55">
        <v>0.01</v>
      </c>
      <c r="E6" s="48"/>
      <c r="F6" s="56">
        <v>0.01</v>
      </c>
      <c r="G6" s="9"/>
      <c r="H6" s="5"/>
      <c r="I6" s="10" t="s">
        <v>71</v>
      </c>
      <c r="J6" s="36">
        <v>30</v>
      </c>
      <c r="K6" s="37">
        <f t="shared" si="0"/>
        <v>8.2191780821917804E-2</v>
      </c>
      <c r="L6" s="38">
        <v>1.4E-2</v>
      </c>
      <c r="N6" s="39"/>
    </row>
    <row r="7" spans="1:16" ht="14.45" customHeight="1" x14ac:dyDescent="0.15">
      <c r="A7" s="5"/>
      <c r="B7" s="143" t="s">
        <v>37</v>
      </c>
      <c r="C7" s="16">
        <v>5000</v>
      </c>
      <c r="D7" s="135">
        <f>L12</f>
        <v>0.04</v>
      </c>
      <c r="E7" s="136" t="s">
        <v>2</v>
      </c>
      <c r="F7" s="50">
        <f>+D7</f>
        <v>0.04</v>
      </c>
      <c r="G7" s="22"/>
      <c r="H7" s="23"/>
      <c r="I7" s="10" t="s">
        <v>72</v>
      </c>
      <c r="J7" s="36">
        <v>91</v>
      </c>
      <c r="K7" s="37">
        <f t="shared" si="0"/>
        <v>0.24931506849315069</v>
      </c>
      <c r="L7" s="38">
        <v>1.7000000000000001E-2</v>
      </c>
      <c r="N7" s="39"/>
    </row>
    <row r="8" spans="1:16" ht="14.45" customHeight="1" x14ac:dyDescent="0.15">
      <c r="A8" s="5"/>
      <c r="B8" s="143" t="s">
        <v>39</v>
      </c>
      <c r="C8" s="16">
        <v>23000</v>
      </c>
      <c r="D8" s="49"/>
      <c r="E8" s="49"/>
      <c r="F8" s="50"/>
      <c r="G8" s="9"/>
      <c r="H8" s="5"/>
      <c r="I8" s="10" t="s">
        <v>73</v>
      </c>
      <c r="J8" s="36">
        <v>183</v>
      </c>
      <c r="K8" s="37">
        <f t="shared" si="0"/>
        <v>0.50136986301369868</v>
      </c>
      <c r="L8" s="38">
        <v>0.02</v>
      </c>
      <c r="N8" s="43"/>
    </row>
    <row r="9" spans="1:16" ht="14.45" customHeight="1" x14ac:dyDescent="0.15">
      <c r="A9" s="5"/>
      <c r="B9" s="143" t="s">
        <v>38</v>
      </c>
      <c r="C9" s="16">
        <v>10000</v>
      </c>
      <c r="D9" s="55">
        <f>E9+F9</f>
        <v>5.5E-2</v>
      </c>
      <c r="E9" s="55">
        <v>1.4999999999999999E-2</v>
      </c>
      <c r="F9" s="56">
        <f>L12</f>
        <v>0.04</v>
      </c>
      <c r="G9" s="9"/>
      <c r="H9" s="5"/>
      <c r="I9" s="10" t="s">
        <v>74</v>
      </c>
      <c r="J9" s="36">
        <v>365</v>
      </c>
      <c r="K9" s="37">
        <f t="shared" si="0"/>
        <v>1</v>
      </c>
      <c r="L9" s="38">
        <v>2.3E-2</v>
      </c>
      <c r="N9" s="44"/>
    </row>
    <row r="10" spans="1:16" ht="14.45" customHeight="1" x14ac:dyDescent="0.15">
      <c r="A10" s="5"/>
      <c r="B10" s="143" t="s">
        <v>40</v>
      </c>
      <c r="C10" s="16">
        <v>13000</v>
      </c>
      <c r="D10" s="55">
        <f>E10+F10</f>
        <v>5.4000000000000006E-2</v>
      </c>
      <c r="E10" s="55">
        <v>0.02</v>
      </c>
      <c r="F10" s="56">
        <f>L11</f>
        <v>3.4000000000000002E-2</v>
      </c>
      <c r="G10" s="9"/>
      <c r="H10" s="5"/>
      <c r="I10" s="10" t="s">
        <v>75</v>
      </c>
      <c r="J10" s="36">
        <v>730</v>
      </c>
      <c r="K10" s="37">
        <f t="shared" si="0"/>
        <v>2</v>
      </c>
      <c r="L10" s="38">
        <v>2.9000000000000001E-2</v>
      </c>
      <c r="N10" s="39"/>
    </row>
    <row r="11" spans="1:16" ht="14.45" customHeight="1" x14ac:dyDescent="0.15">
      <c r="A11" s="5"/>
      <c r="B11" s="143" t="s">
        <v>41</v>
      </c>
      <c r="C11" s="16">
        <v>5000</v>
      </c>
      <c r="D11" s="55"/>
      <c r="E11" s="55"/>
      <c r="F11" s="56"/>
      <c r="G11" s="9"/>
      <c r="H11" s="5"/>
      <c r="I11" s="10" t="s">
        <v>76</v>
      </c>
      <c r="J11" s="36">
        <v>1095</v>
      </c>
      <c r="K11" s="37">
        <f t="shared" si="0"/>
        <v>3</v>
      </c>
      <c r="L11" s="38">
        <v>3.4000000000000002E-2</v>
      </c>
      <c r="N11" s="39"/>
    </row>
    <row r="12" spans="1:16" ht="14.45" customHeight="1" x14ac:dyDescent="0.15">
      <c r="A12" s="5"/>
      <c r="B12" s="143" t="s">
        <v>42</v>
      </c>
      <c r="C12" s="16">
        <v>1000</v>
      </c>
      <c r="D12" s="55">
        <f>E12+F12</f>
        <v>0.06</v>
      </c>
      <c r="E12" s="55">
        <v>0.04</v>
      </c>
      <c r="F12" s="56">
        <f>L8</f>
        <v>0.02</v>
      </c>
      <c r="G12" s="23"/>
      <c r="H12" s="23"/>
      <c r="I12" s="24" t="s">
        <v>77</v>
      </c>
      <c r="J12" s="36">
        <v>1825</v>
      </c>
      <c r="K12" s="37">
        <f t="shared" si="0"/>
        <v>5</v>
      </c>
      <c r="L12" s="38">
        <v>0.04</v>
      </c>
      <c r="N12" s="39"/>
    </row>
    <row r="13" spans="1:16" ht="14.45" customHeight="1" x14ac:dyDescent="0.15">
      <c r="A13" s="5"/>
      <c r="B13" s="143" t="s">
        <v>44</v>
      </c>
      <c r="C13" s="16">
        <v>4000</v>
      </c>
      <c r="D13" s="55">
        <f>E13+F13</f>
        <v>4.7E-2</v>
      </c>
      <c r="E13" s="55">
        <v>0.03</v>
      </c>
      <c r="F13" s="56">
        <f>L7</f>
        <v>1.7000000000000001E-2</v>
      </c>
      <c r="G13" s="23"/>
      <c r="H13" s="23"/>
      <c r="I13" s="51" t="s">
        <v>78</v>
      </c>
      <c r="J13" s="52">
        <v>3650</v>
      </c>
      <c r="K13" s="53">
        <f t="shared" si="0"/>
        <v>10</v>
      </c>
      <c r="L13" s="54">
        <v>0.05</v>
      </c>
      <c r="N13" s="39"/>
    </row>
    <row r="14" spans="1:16" ht="14.45" customHeight="1" x14ac:dyDescent="0.15">
      <c r="A14" s="5"/>
      <c r="B14" s="143" t="s">
        <v>43</v>
      </c>
      <c r="C14" s="16">
        <v>1000</v>
      </c>
      <c r="D14" s="55"/>
      <c r="E14" s="55"/>
      <c r="F14" s="56"/>
      <c r="G14" s="5"/>
      <c r="H14" s="5"/>
      <c r="I14" s="5"/>
      <c r="J14" s="5"/>
      <c r="K14" s="5"/>
      <c r="L14" s="39"/>
      <c r="M14" s="39"/>
      <c r="N14" s="39"/>
    </row>
    <row r="15" spans="1:16" ht="14.45" customHeight="1" thickBot="1" x14ac:dyDescent="0.2">
      <c r="A15" s="5"/>
      <c r="B15" s="142" t="s">
        <v>45</v>
      </c>
      <c r="C15" s="59">
        <f>SUM(C11,C8,C7,C6,C14)</f>
        <v>35000</v>
      </c>
      <c r="D15" s="60"/>
      <c r="E15" s="60"/>
      <c r="F15" s="61"/>
      <c r="G15" s="5"/>
      <c r="H15" s="5"/>
      <c r="I15" s="138" t="s">
        <v>89</v>
      </c>
      <c r="J15" s="5"/>
      <c r="K15" s="5"/>
      <c r="L15" s="5"/>
      <c r="M15" s="5"/>
      <c r="O15" s="39"/>
    </row>
    <row r="16" spans="1:16" ht="14.45" customHeight="1" x14ac:dyDescent="0.15">
      <c r="A16" s="5"/>
      <c r="B16" s="142" t="s">
        <v>46</v>
      </c>
      <c r="C16" s="62"/>
      <c r="D16" s="55"/>
      <c r="E16" s="55"/>
      <c r="F16" s="56"/>
      <c r="G16" s="5"/>
      <c r="H16" s="5"/>
      <c r="I16" s="158" t="s">
        <v>83</v>
      </c>
      <c r="J16" s="146" t="s">
        <v>90</v>
      </c>
      <c r="K16" s="146" t="s">
        <v>91</v>
      </c>
      <c r="L16" s="168" t="s">
        <v>92</v>
      </c>
      <c r="M16" s="169"/>
      <c r="N16" s="5"/>
      <c r="O16" s="39"/>
      <c r="P16" s="39"/>
    </row>
    <row r="17" spans="1:18" ht="14.45" customHeight="1" x14ac:dyDescent="0.15">
      <c r="A17" s="5"/>
      <c r="B17" s="143" t="s">
        <v>47</v>
      </c>
      <c r="C17" s="16">
        <v>25000</v>
      </c>
      <c r="D17" s="55"/>
      <c r="E17" s="55"/>
      <c r="F17" s="56"/>
      <c r="G17" s="5"/>
      <c r="H17" s="5"/>
      <c r="I17" s="159"/>
      <c r="J17" s="161"/>
      <c r="K17" s="162"/>
      <c r="L17" s="163" t="s">
        <v>93</v>
      </c>
      <c r="M17" s="164" t="s">
        <v>94</v>
      </c>
      <c r="N17" s="5"/>
      <c r="O17" s="43"/>
      <c r="P17" s="39"/>
    </row>
    <row r="18" spans="1:18" ht="14.45" customHeight="1" x14ac:dyDescent="0.15">
      <c r="A18" s="5"/>
      <c r="B18" s="143" t="s">
        <v>48</v>
      </c>
      <c r="C18" s="16">
        <v>15000</v>
      </c>
      <c r="D18" s="55">
        <v>0</v>
      </c>
      <c r="E18" s="48" t="s">
        <v>0</v>
      </c>
      <c r="F18" s="63">
        <f>L5</f>
        <v>0.01</v>
      </c>
      <c r="G18" s="5"/>
      <c r="H18" s="5"/>
      <c r="I18" s="160" t="s">
        <v>84</v>
      </c>
      <c r="J18" s="16">
        <f>C10</f>
        <v>13000</v>
      </c>
      <c r="K18" s="17">
        <v>0.01</v>
      </c>
      <c r="L18" s="5">
        <f>+J18*K18</f>
        <v>130</v>
      </c>
      <c r="M18" s="18"/>
      <c r="N18" s="5"/>
      <c r="O18" s="44"/>
      <c r="P18" s="43"/>
      <c r="Q18" s="5"/>
    </row>
    <row r="19" spans="1:18" ht="14.45" customHeight="1" x14ac:dyDescent="0.15">
      <c r="A19" s="5"/>
      <c r="B19" s="143" t="s">
        <v>49</v>
      </c>
      <c r="C19" s="16">
        <v>10000</v>
      </c>
      <c r="D19" s="55">
        <f>+E19*F19</f>
        <v>1.0200000000000001E-2</v>
      </c>
      <c r="E19" s="64">
        <v>0.6</v>
      </c>
      <c r="F19" s="56">
        <v>1.7000000000000001E-2</v>
      </c>
      <c r="G19" s="5"/>
      <c r="H19" s="5"/>
      <c r="I19" s="160" t="s">
        <v>85</v>
      </c>
      <c r="J19" s="16">
        <f>C13</f>
        <v>4000</v>
      </c>
      <c r="K19" s="17">
        <v>1.2E-2</v>
      </c>
      <c r="L19" s="5">
        <f>+J19*K19</f>
        <v>48</v>
      </c>
      <c r="M19" s="18"/>
      <c r="N19" s="5"/>
      <c r="O19" s="39"/>
      <c r="P19" s="44"/>
      <c r="Q19" s="5"/>
      <c r="R19" s="5"/>
    </row>
    <row r="20" spans="1:18" ht="14.45" customHeight="1" x14ac:dyDescent="0.15">
      <c r="A20" s="5"/>
      <c r="B20" s="143" t="s">
        <v>50</v>
      </c>
      <c r="C20" s="16">
        <v>5000</v>
      </c>
      <c r="D20" s="55"/>
      <c r="E20" s="65"/>
      <c r="F20" s="56"/>
      <c r="G20" s="5"/>
      <c r="H20" s="5"/>
      <c r="I20" s="160" t="s">
        <v>86</v>
      </c>
      <c r="J20" s="16">
        <f>C9</f>
        <v>10000</v>
      </c>
      <c r="K20" s="17">
        <v>1.7000000000000001E-2</v>
      </c>
      <c r="L20" s="5"/>
      <c r="M20" s="18">
        <f>+J20*K20</f>
        <v>170</v>
      </c>
      <c r="N20" s="5"/>
      <c r="O20" s="39"/>
      <c r="P20" s="39"/>
      <c r="Q20" s="5"/>
    </row>
    <row r="21" spans="1:18" ht="14.45" customHeight="1" x14ac:dyDescent="0.15">
      <c r="A21" s="5"/>
      <c r="B21" s="143" t="s">
        <v>48</v>
      </c>
      <c r="C21" s="16">
        <v>3500</v>
      </c>
      <c r="D21" s="55">
        <v>1E-3</v>
      </c>
      <c r="E21" s="65" t="s">
        <v>0</v>
      </c>
      <c r="F21" s="63">
        <v>0.01</v>
      </c>
      <c r="G21" s="5"/>
      <c r="H21" s="5"/>
      <c r="I21" s="160" t="s">
        <v>87</v>
      </c>
      <c r="J21" s="25">
        <f>C12</f>
        <v>1000</v>
      </c>
      <c r="K21" s="26">
        <v>2.5000000000000001E-2</v>
      </c>
      <c r="L21" s="27"/>
      <c r="M21" s="28">
        <f>+J21*K21</f>
        <v>25</v>
      </c>
      <c r="N21" s="5"/>
      <c r="O21" s="39"/>
      <c r="P21" s="39"/>
    </row>
    <row r="22" spans="1:18" ht="14.45" customHeight="1" thickBot="1" x14ac:dyDescent="0.2">
      <c r="A22" s="5"/>
      <c r="B22" s="143" t="s">
        <v>49</v>
      </c>
      <c r="C22" s="16">
        <v>1500</v>
      </c>
      <c r="D22" s="55">
        <f>+E22*F22</f>
        <v>1.1900000000000001E-2</v>
      </c>
      <c r="E22" s="64">
        <v>0.7</v>
      </c>
      <c r="F22" s="56">
        <v>1.7000000000000001E-2</v>
      </c>
      <c r="G22" s="5" t="s">
        <v>1</v>
      </c>
      <c r="H22" s="5"/>
      <c r="I22" s="154" t="s">
        <v>88</v>
      </c>
      <c r="J22" s="25">
        <f>SUM(J18:J21)</f>
        <v>28000</v>
      </c>
      <c r="K22" s="29">
        <f>SUMPRODUCT(J18:J21,K18:K21)/J22</f>
        <v>1.3321428571428571E-2</v>
      </c>
      <c r="L22" s="30">
        <f>SUM(L18:L21)</f>
        <v>178</v>
      </c>
      <c r="M22" s="31">
        <f>SUM(M18:M21)</f>
        <v>195</v>
      </c>
      <c r="N22" s="5"/>
      <c r="O22" s="39"/>
      <c r="P22" s="39"/>
    </row>
    <row r="23" spans="1:18" ht="14.45" customHeight="1" thickBot="1" x14ac:dyDescent="0.2">
      <c r="A23" s="5"/>
      <c r="B23" s="142" t="s">
        <v>51</v>
      </c>
      <c r="C23" s="59">
        <f>SUM(C17,C20)</f>
        <v>30000</v>
      </c>
      <c r="D23" s="60"/>
      <c r="E23" s="66"/>
      <c r="F23" s="61"/>
      <c r="G23" s="5"/>
      <c r="H23" s="5"/>
      <c r="I23" s="5"/>
      <c r="J23" s="5"/>
      <c r="K23" s="5"/>
      <c r="L23" s="5"/>
      <c r="M23" s="5"/>
      <c r="N23" s="5"/>
    </row>
    <row r="24" spans="1:18" ht="14.45" customHeight="1" thickBot="1" x14ac:dyDescent="0.2">
      <c r="A24" s="5"/>
      <c r="B24" s="142" t="s">
        <v>52</v>
      </c>
      <c r="C24" s="9"/>
      <c r="D24" s="5"/>
      <c r="E24" s="5"/>
      <c r="F24" s="18"/>
      <c r="G24" s="5"/>
      <c r="H24" s="5"/>
      <c r="I24" s="6" t="s">
        <v>102</v>
      </c>
      <c r="N24" s="39"/>
    </row>
    <row r="25" spans="1:18" ht="14.45" customHeight="1" x14ac:dyDescent="0.15">
      <c r="A25" s="5"/>
      <c r="B25" s="143" t="s">
        <v>53</v>
      </c>
      <c r="C25" s="25">
        <v>5000</v>
      </c>
      <c r="D25" s="27"/>
      <c r="E25" s="27"/>
      <c r="F25" s="28"/>
      <c r="G25" s="9"/>
      <c r="H25" s="5"/>
      <c r="I25" s="165" t="s">
        <v>7</v>
      </c>
      <c r="J25" s="141">
        <f>SUM(J26:J29)</f>
        <v>1710</v>
      </c>
      <c r="N25" s="57"/>
    </row>
    <row r="26" spans="1:18" ht="14.45" customHeight="1" thickBot="1" x14ac:dyDescent="0.2">
      <c r="A26" s="5"/>
      <c r="B26" s="144" t="s">
        <v>54</v>
      </c>
      <c r="C26" s="68">
        <f>SUM(C25)</f>
        <v>5000</v>
      </c>
      <c r="D26" s="69"/>
      <c r="E26" s="69"/>
      <c r="F26" s="70"/>
      <c r="G26" s="9" t="s">
        <v>1</v>
      </c>
      <c r="H26" s="5"/>
      <c r="I26" s="152" t="s">
        <v>95</v>
      </c>
      <c r="J26" s="33">
        <f>C10*D10+C13*D13</f>
        <v>890.00000000000011</v>
      </c>
      <c r="N26" s="58"/>
    </row>
    <row r="27" spans="1:18" ht="14.45" customHeight="1" x14ac:dyDescent="0.15">
      <c r="A27" s="5"/>
      <c r="B27" s="5"/>
      <c r="C27" s="5"/>
      <c r="D27" s="5"/>
      <c r="E27" s="5"/>
      <c r="F27" s="5"/>
      <c r="G27" s="9"/>
      <c r="H27" s="5"/>
      <c r="I27" s="152" t="s">
        <v>96</v>
      </c>
      <c r="J27" s="33">
        <f>C9*D9+C12*D12</f>
        <v>610</v>
      </c>
      <c r="N27" s="5"/>
    </row>
    <row r="28" spans="1:18" ht="14.45" customHeight="1" thickBot="1" x14ac:dyDescent="0.2">
      <c r="A28" s="5"/>
      <c r="B28" s="6" t="s">
        <v>59</v>
      </c>
      <c r="C28" s="5"/>
      <c r="D28" s="5"/>
      <c r="E28" s="5"/>
      <c r="F28" s="5"/>
      <c r="G28" s="9"/>
      <c r="H28" s="5"/>
      <c r="I28" s="152" t="s">
        <v>97</v>
      </c>
      <c r="J28" s="33">
        <f>C7*D7</f>
        <v>200</v>
      </c>
      <c r="N28" s="5"/>
    </row>
    <row r="29" spans="1:18" ht="14.45" customHeight="1" x14ac:dyDescent="0.15">
      <c r="A29" s="5"/>
      <c r="B29" s="8"/>
      <c r="C29" s="146" t="s">
        <v>25</v>
      </c>
      <c r="D29" s="146" t="s">
        <v>26</v>
      </c>
      <c r="E29" s="146" t="s">
        <v>27</v>
      </c>
      <c r="F29" s="147" t="s">
        <v>28</v>
      </c>
      <c r="G29" s="9"/>
      <c r="H29" s="5"/>
      <c r="I29" s="166" t="s">
        <v>98</v>
      </c>
      <c r="J29" s="33">
        <f>+C6*L5</f>
        <v>10</v>
      </c>
      <c r="N29" s="5"/>
    </row>
    <row r="30" spans="1:18" ht="14.45" customHeight="1" x14ac:dyDescent="0.15">
      <c r="A30" s="5"/>
      <c r="B30" s="148" t="s">
        <v>60</v>
      </c>
      <c r="C30" s="11"/>
      <c r="D30" s="12"/>
      <c r="E30" s="12"/>
      <c r="F30" s="13"/>
      <c r="G30" s="9"/>
      <c r="H30" s="5"/>
      <c r="I30" s="152" t="s">
        <v>99</v>
      </c>
      <c r="J30" s="33"/>
      <c r="N30" s="5"/>
    </row>
    <row r="31" spans="1:18" ht="14.45" customHeight="1" x14ac:dyDescent="0.15">
      <c r="A31" s="5"/>
      <c r="B31" s="149" t="s">
        <v>61</v>
      </c>
      <c r="C31" s="14">
        <v>4500</v>
      </c>
      <c r="D31" s="14">
        <v>6000</v>
      </c>
      <c r="E31" s="14">
        <v>300</v>
      </c>
      <c r="F31" s="15">
        <f>C31+D31+E31</f>
        <v>10800</v>
      </c>
      <c r="G31" s="9"/>
      <c r="H31" s="5"/>
      <c r="I31" s="152" t="s">
        <v>95</v>
      </c>
      <c r="J31" s="33">
        <f>-(C21*D21+C22*D22)</f>
        <v>-21.35</v>
      </c>
      <c r="N31" s="5"/>
    </row>
    <row r="32" spans="1:18" ht="14.45" customHeight="1" x14ac:dyDescent="0.15">
      <c r="A32" s="5"/>
      <c r="B32" s="149" t="s">
        <v>62</v>
      </c>
      <c r="C32" s="19"/>
      <c r="D32" s="20"/>
      <c r="E32" s="19"/>
      <c r="F32" s="21">
        <f>$F$33/$F$31</f>
        <v>3.7037037037037035E-2</v>
      </c>
      <c r="G32" s="9"/>
      <c r="H32" s="5"/>
      <c r="I32" s="152" t="s">
        <v>96</v>
      </c>
      <c r="J32" s="33">
        <f>-(C18*D18+C19*D19)</f>
        <v>-102.00000000000001</v>
      </c>
      <c r="N32" s="5"/>
    </row>
    <row r="33" spans="1:14" ht="14.45" customHeight="1" x14ac:dyDescent="0.15">
      <c r="A33" s="5"/>
      <c r="B33" s="149" t="s">
        <v>63</v>
      </c>
      <c r="C33" s="14">
        <f>C31*$F32</f>
        <v>166.66666666666666</v>
      </c>
      <c r="D33" s="14">
        <f>D31*$F32</f>
        <v>222.2222222222222</v>
      </c>
      <c r="E33" s="14">
        <f>E31*$F32</f>
        <v>11.111111111111111</v>
      </c>
      <c r="F33" s="15">
        <v>400</v>
      </c>
      <c r="G33" s="9"/>
      <c r="H33" s="5"/>
      <c r="I33" s="152" t="s">
        <v>12</v>
      </c>
      <c r="J33" s="33"/>
      <c r="N33" s="5"/>
    </row>
    <row r="34" spans="1:14" ht="14.45" customHeight="1" x14ac:dyDescent="0.15">
      <c r="A34" s="5"/>
      <c r="B34" s="150" t="s">
        <v>64</v>
      </c>
      <c r="C34" s="14"/>
      <c r="D34" s="14"/>
      <c r="E34" s="14"/>
      <c r="F34" s="15"/>
      <c r="G34" s="9"/>
      <c r="H34" s="5"/>
      <c r="I34" s="152" t="s">
        <v>95</v>
      </c>
      <c r="J34" s="33">
        <v>250</v>
      </c>
      <c r="N34" s="5"/>
    </row>
    <row r="35" spans="1:14" ht="14.45" customHeight="1" x14ac:dyDescent="0.15">
      <c r="A35" s="5"/>
      <c r="B35" s="149" t="s">
        <v>65</v>
      </c>
      <c r="C35" s="14">
        <f>C10+C13</f>
        <v>17000</v>
      </c>
      <c r="D35" s="14">
        <f>C9+C12</f>
        <v>11000</v>
      </c>
      <c r="E35" s="14">
        <f>C7+C6</f>
        <v>6000</v>
      </c>
      <c r="F35" s="15">
        <f>SUM(C35:E35)</f>
        <v>34000</v>
      </c>
      <c r="G35" s="22"/>
      <c r="H35" s="23"/>
      <c r="I35" s="152" t="s">
        <v>96</v>
      </c>
      <c r="J35" s="33">
        <v>150</v>
      </c>
      <c r="N35" s="5"/>
    </row>
    <row r="36" spans="1:14" ht="14.45" customHeight="1" x14ac:dyDescent="0.15">
      <c r="A36" s="5"/>
      <c r="B36" s="149" t="s">
        <v>62</v>
      </c>
      <c r="C36" s="19"/>
      <c r="D36" s="19"/>
      <c r="E36" s="19"/>
      <c r="F36" s="21">
        <f>F37/F35</f>
        <v>3.8235294117647061E-3</v>
      </c>
      <c r="G36" s="9"/>
      <c r="H36" s="5"/>
      <c r="I36" s="152" t="s">
        <v>14</v>
      </c>
      <c r="J36" s="15">
        <f>-(F33)</f>
        <v>-400</v>
      </c>
      <c r="N36" s="5"/>
    </row>
    <row r="37" spans="1:14" ht="14.45" customHeight="1" x14ac:dyDescent="0.15">
      <c r="A37" s="5"/>
      <c r="B37" s="149" t="s">
        <v>63</v>
      </c>
      <c r="C37" s="14">
        <f>C35*$F36</f>
        <v>65</v>
      </c>
      <c r="D37" s="14">
        <f>D35*$F36</f>
        <v>42.058823529411768</v>
      </c>
      <c r="E37" s="14">
        <f>E35*$F36</f>
        <v>22.941176470588236</v>
      </c>
      <c r="F37" s="15">
        <v>130</v>
      </c>
      <c r="G37" s="9"/>
      <c r="H37" s="5"/>
      <c r="I37" s="152" t="s">
        <v>16</v>
      </c>
      <c r="J37" s="15">
        <f>-(F37)</f>
        <v>-130</v>
      </c>
      <c r="N37" s="5"/>
    </row>
    <row r="38" spans="1:14" ht="14.45" customHeight="1" x14ac:dyDescent="0.15">
      <c r="A38" s="5"/>
      <c r="B38" s="150" t="s">
        <v>66</v>
      </c>
      <c r="C38" s="14"/>
      <c r="D38" s="14"/>
      <c r="E38" s="14"/>
      <c r="F38" s="15"/>
      <c r="G38" s="9"/>
      <c r="H38" s="5"/>
      <c r="I38" s="152" t="s">
        <v>18</v>
      </c>
      <c r="J38" s="15">
        <f>-(F41)</f>
        <v>-120</v>
      </c>
      <c r="N38" s="5"/>
    </row>
    <row r="39" spans="1:14" ht="14.45" customHeight="1" x14ac:dyDescent="0.15">
      <c r="B39" s="149" t="s">
        <v>67</v>
      </c>
      <c r="C39" s="19">
        <v>10000</v>
      </c>
      <c r="D39" s="19">
        <v>15000</v>
      </c>
      <c r="E39" s="19">
        <v>1000</v>
      </c>
      <c r="F39" s="33">
        <f>SUM(C39:E39)</f>
        <v>26000</v>
      </c>
      <c r="G39" s="9"/>
      <c r="H39" s="5"/>
      <c r="I39" s="152" t="s">
        <v>20</v>
      </c>
      <c r="J39" s="42">
        <f>-(L22+M22)</f>
        <v>-373</v>
      </c>
      <c r="N39" s="5"/>
    </row>
    <row r="40" spans="1:14" ht="14.45" customHeight="1" x14ac:dyDescent="0.15">
      <c r="B40" s="149" t="s">
        <v>62</v>
      </c>
      <c r="C40" s="19"/>
      <c r="D40" s="19"/>
      <c r="E40" s="19"/>
      <c r="F40" s="21">
        <f>F41/F39</f>
        <v>4.6153846153846158E-3</v>
      </c>
      <c r="I40" s="148" t="s">
        <v>22</v>
      </c>
      <c r="J40" s="67">
        <f>SUM(J26:J39)</f>
        <v>963.65000000000009</v>
      </c>
      <c r="K40" s="5"/>
      <c r="L40" s="5"/>
      <c r="M40" s="5"/>
    </row>
    <row r="41" spans="1:14" ht="14.45" customHeight="1" thickBot="1" x14ac:dyDescent="0.2">
      <c r="A41" s="5"/>
      <c r="B41" s="151" t="s">
        <v>63</v>
      </c>
      <c r="C41" s="40">
        <f>C39*$F40</f>
        <v>46.15384615384616</v>
      </c>
      <c r="D41" s="41">
        <f>D39*$F40</f>
        <v>69.230769230769241</v>
      </c>
      <c r="E41" s="41">
        <f>E39*$F40</f>
        <v>4.6153846153846159</v>
      </c>
      <c r="F41" s="42">
        <v>120</v>
      </c>
      <c r="G41" s="5"/>
      <c r="H41" s="5"/>
      <c r="I41" s="152" t="s">
        <v>100</v>
      </c>
      <c r="J41" s="33">
        <f>-(0.2*J40)</f>
        <v>-192.73000000000002</v>
      </c>
      <c r="K41" s="5"/>
      <c r="L41" s="5"/>
      <c r="M41" s="5"/>
      <c r="N41" s="5"/>
    </row>
    <row r="42" spans="1:14" ht="14.45" customHeight="1" thickBot="1" x14ac:dyDescent="0.2">
      <c r="A42" s="5"/>
      <c r="B42" s="140"/>
      <c r="C42" s="14"/>
      <c r="D42" s="14"/>
      <c r="E42" s="14"/>
      <c r="F42" s="19"/>
      <c r="G42" s="5"/>
      <c r="H42" s="5"/>
      <c r="I42" s="154" t="s">
        <v>101</v>
      </c>
      <c r="J42" s="71">
        <f>SUM(J40:J41)</f>
        <v>770.92000000000007</v>
      </c>
      <c r="K42" s="5"/>
      <c r="L42" s="5"/>
      <c r="M42" s="5"/>
      <c r="N42" s="5"/>
    </row>
    <row r="43" spans="1:14" ht="14.45" customHeight="1" x14ac:dyDescent="0.15">
      <c r="C43" s="5"/>
      <c r="D43" s="5"/>
      <c r="E43" s="5"/>
      <c r="G43" s="5"/>
      <c r="N43" s="5"/>
    </row>
    <row r="44" spans="1:14" ht="14.45" customHeight="1" x14ac:dyDescent="0.15">
      <c r="B44" s="6" t="s">
        <v>33</v>
      </c>
      <c r="C44" s="5"/>
      <c r="D44" s="5"/>
      <c r="E44" s="5"/>
      <c r="F44" s="5"/>
      <c r="G44" s="5"/>
      <c r="N44" s="5"/>
    </row>
    <row r="45" spans="1:14" ht="14.45" customHeight="1" thickBot="1" x14ac:dyDescent="0.2">
      <c r="B45" s="6" t="s">
        <v>32</v>
      </c>
      <c r="C45" s="5"/>
      <c r="D45" s="5"/>
      <c r="E45" s="5"/>
      <c r="F45" s="5"/>
      <c r="G45" s="5"/>
      <c r="N45" s="5"/>
    </row>
    <row r="46" spans="1:14" ht="14.45" customHeight="1" x14ac:dyDescent="0.15">
      <c r="B46" s="72"/>
      <c r="C46" s="146" t="s">
        <v>25</v>
      </c>
      <c r="D46" s="146" t="s">
        <v>26</v>
      </c>
      <c r="E46" s="146" t="s">
        <v>27</v>
      </c>
      <c r="F46" s="147" t="s">
        <v>28</v>
      </c>
      <c r="G46" s="5"/>
      <c r="N46" s="5"/>
    </row>
    <row r="47" spans="1:14" ht="14.45" customHeight="1" x14ac:dyDescent="0.15">
      <c r="B47" s="74"/>
      <c r="C47" s="121"/>
      <c r="D47" s="122"/>
      <c r="E47" s="122"/>
      <c r="F47" s="123"/>
      <c r="G47" s="5"/>
      <c r="N47" s="5"/>
    </row>
    <row r="48" spans="1:14" ht="14.45" customHeight="1" x14ac:dyDescent="0.15">
      <c r="B48" s="152" t="s">
        <v>5</v>
      </c>
      <c r="C48" s="75">
        <f>C35</f>
        <v>17000</v>
      </c>
      <c r="D48" s="76">
        <f>D35</f>
        <v>11000</v>
      </c>
      <c r="E48" s="76">
        <f>E35</f>
        <v>6000</v>
      </c>
      <c r="F48" s="110">
        <f>SUM(C48:E48)</f>
        <v>34000</v>
      </c>
      <c r="G48" s="5"/>
      <c r="N48" s="5"/>
    </row>
    <row r="49" spans="2:14" ht="14.45" customHeight="1" x14ac:dyDescent="0.15">
      <c r="B49" s="152" t="s">
        <v>6</v>
      </c>
      <c r="C49" s="75">
        <f>C20</f>
        <v>5000</v>
      </c>
      <c r="D49" s="76">
        <f>C17</f>
        <v>25000</v>
      </c>
      <c r="E49" s="77"/>
      <c r="F49" s="110"/>
      <c r="G49" s="5"/>
      <c r="N49" s="5"/>
    </row>
    <row r="50" spans="2:14" ht="14.45" customHeight="1" x14ac:dyDescent="0.15">
      <c r="B50" s="153"/>
      <c r="C50" s="99"/>
      <c r="D50" s="100"/>
      <c r="E50" s="100"/>
      <c r="F50" s="124"/>
      <c r="G50" s="5"/>
      <c r="N50" s="5"/>
    </row>
    <row r="51" spans="2:14" ht="14.45" customHeight="1" x14ac:dyDescent="0.15">
      <c r="B51" s="152" t="s">
        <v>8</v>
      </c>
      <c r="C51" s="78">
        <f>J26</f>
        <v>890.00000000000011</v>
      </c>
      <c r="D51" s="79">
        <f>J27</f>
        <v>610</v>
      </c>
      <c r="E51" s="79">
        <f>J28+J29</f>
        <v>210</v>
      </c>
      <c r="F51" s="33">
        <f t="shared" ref="F51:F59" si="1">SUM(C51:E51)</f>
        <v>1710</v>
      </c>
      <c r="G51" s="5"/>
      <c r="N51" s="5"/>
    </row>
    <row r="52" spans="2:14" ht="14.45" customHeight="1" x14ac:dyDescent="0.15">
      <c r="B52" s="152" t="s">
        <v>9</v>
      </c>
      <c r="C52" s="78">
        <f>-(C10*F10+C13*F13)</f>
        <v>-510.00000000000006</v>
      </c>
      <c r="D52" s="79">
        <f>-(C9*F9+C12*F12)</f>
        <v>-420</v>
      </c>
      <c r="E52" s="14">
        <f>-SUM(C52:D52)</f>
        <v>930</v>
      </c>
      <c r="F52" s="110">
        <f t="shared" si="1"/>
        <v>0</v>
      </c>
      <c r="G52" s="5"/>
      <c r="N52" s="5"/>
    </row>
    <row r="53" spans="2:14" ht="14.45" customHeight="1" x14ac:dyDescent="0.15">
      <c r="B53" s="152" t="s">
        <v>10</v>
      </c>
      <c r="C53" s="78">
        <f>J31</f>
        <v>-21.35</v>
      </c>
      <c r="D53" s="79">
        <f>J32</f>
        <v>-102.00000000000001</v>
      </c>
      <c r="E53" s="14"/>
      <c r="F53" s="110">
        <f t="shared" si="1"/>
        <v>-123.35000000000002</v>
      </c>
      <c r="G53" s="5"/>
      <c r="N53" s="5"/>
    </row>
    <row r="54" spans="2:14" ht="14.45" customHeight="1" x14ac:dyDescent="0.15">
      <c r="B54" s="152" t="s">
        <v>11</v>
      </c>
      <c r="C54" s="78">
        <f>C21*F21+C22*F22</f>
        <v>60.5</v>
      </c>
      <c r="D54" s="79">
        <f>C18*F18+C19*F19</f>
        <v>320</v>
      </c>
      <c r="E54" s="119">
        <f>-(SUM(C54:D54))</f>
        <v>-380.5</v>
      </c>
      <c r="F54" s="110">
        <f t="shared" si="1"/>
        <v>0</v>
      </c>
      <c r="G54" s="5"/>
      <c r="N54" s="5"/>
    </row>
    <row r="55" spans="2:14" ht="14.45" customHeight="1" x14ac:dyDescent="0.15">
      <c r="B55" s="152" t="s">
        <v>13</v>
      </c>
      <c r="C55" s="78">
        <f>J34</f>
        <v>250</v>
      </c>
      <c r="D55" s="79">
        <f>J35</f>
        <v>150</v>
      </c>
      <c r="E55" s="79"/>
      <c r="F55" s="110">
        <f t="shared" si="1"/>
        <v>400</v>
      </c>
      <c r="G55" s="5"/>
      <c r="N55" s="5"/>
    </row>
    <row r="56" spans="2:14" ht="14.45" customHeight="1" x14ac:dyDescent="0.15">
      <c r="B56" s="152" t="s">
        <v>15</v>
      </c>
      <c r="C56" s="101">
        <f>-(C33)</f>
        <v>-166.66666666666666</v>
      </c>
      <c r="D56" s="102">
        <f>-(D33)</f>
        <v>-222.2222222222222</v>
      </c>
      <c r="E56" s="102">
        <f>-(E33)</f>
        <v>-11.111111111111111</v>
      </c>
      <c r="F56" s="110">
        <f t="shared" si="1"/>
        <v>-399.99999999999994</v>
      </c>
      <c r="G56" s="5"/>
      <c r="H56" s="157" t="s">
        <v>68</v>
      </c>
      <c r="N56" s="5"/>
    </row>
    <row r="57" spans="2:14" ht="14.45" customHeight="1" x14ac:dyDescent="0.15">
      <c r="B57" s="152" t="s">
        <v>17</v>
      </c>
      <c r="C57" s="101">
        <f>-(C37)</f>
        <v>-65</v>
      </c>
      <c r="D57" s="102">
        <f>-(D37)</f>
        <v>-42.058823529411768</v>
      </c>
      <c r="E57" s="102">
        <f>-(E37)</f>
        <v>-22.941176470588236</v>
      </c>
      <c r="F57" s="110">
        <f t="shared" si="1"/>
        <v>-130</v>
      </c>
      <c r="G57" s="5"/>
      <c r="H57" s="129" t="s">
        <v>69</v>
      </c>
      <c r="N57" s="5"/>
    </row>
    <row r="58" spans="2:14" ht="14.45" customHeight="1" x14ac:dyDescent="0.15">
      <c r="B58" s="152" t="s">
        <v>19</v>
      </c>
      <c r="C58" s="78">
        <f>-(C41)</f>
        <v>-46.15384615384616</v>
      </c>
      <c r="D58" s="79">
        <f>-(D41)</f>
        <v>-69.230769230769241</v>
      </c>
      <c r="E58" s="79">
        <f>-(E41)</f>
        <v>-4.6153846153846159</v>
      </c>
      <c r="F58" s="110">
        <f t="shared" si="1"/>
        <v>-120.00000000000001</v>
      </c>
      <c r="G58" s="5"/>
      <c r="N58" s="5"/>
    </row>
    <row r="59" spans="2:14" ht="14.45" customHeight="1" x14ac:dyDescent="0.15">
      <c r="B59" s="152" t="s">
        <v>21</v>
      </c>
      <c r="C59" s="120">
        <f>-L22</f>
        <v>-178</v>
      </c>
      <c r="D59" s="115">
        <f>-M22</f>
        <v>-195</v>
      </c>
      <c r="E59" s="115"/>
      <c r="F59" s="125">
        <f t="shared" si="1"/>
        <v>-373</v>
      </c>
      <c r="G59" s="5"/>
      <c r="N59" s="5"/>
    </row>
    <row r="60" spans="2:14" ht="14.45" customHeight="1" x14ac:dyDescent="0.15">
      <c r="B60" s="148" t="s">
        <v>23</v>
      </c>
      <c r="C60" s="126">
        <f>SUM(C51:C59)</f>
        <v>213.32948717948727</v>
      </c>
      <c r="D60" s="127">
        <f>SUM(D51:D59)</f>
        <v>29.488185017596834</v>
      </c>
      <c r="E60" s="127">
        <f>SUM(E51:E59)</f>
        <v>720.83232780291598</v>
      </c>
      <c r="F60" s="112">
        <f>SUM(F51:F59)</f>
        <v>963.65000000000009</v>
      </c>
      <c r="G60" s="128" t="s">
        <v>1</v>
      </c>
      <c r="N60" s="5"/>
    </row>
    <row r="61" spans="2:14" ht="14.45" customHeight="1" thickBot="1" x14ac:dyDescent="0.2">
      <c r="B61" s="154" t="s">
        <v>24</v>
      </c>
      <c r="C61" s="116">
        <f>C60/C48</f>
        <v>1.2548793363499251E-2</v>
      </c>
      <c r="D61" s="117">
        <f>D60/D48</f>
        <v>2.6807440925088032E-3</v>
      </c>
      <c r="E61" s="117">
        <f>E60/E48</f>
        <v>0.120138721300486</v>
      </c>
      <c r="F61" s="118">
        <f>F60/F48</f>
        <v>2.8342647058823531E-2</v>
      </c>
      <c r="G61" s="5"/>
      <c r="N61" s="5"/>
    </row>
    <row r="62" spans="2:14" ht="14.45" customHeight="1" x14ac:dyDescent="0.15">
      <c r="B62" s="132"/>
      <c r="C62" s="131"/>
      <c r="D62" s="131"/>
      <c r="E62" s="131"/>
      <c r="F62" s="131"/>
      <c r="G62" s="5"/>
      <c r="N62" s="5"/>
    </row>
    <row r="63" spans="2:14" ht="14.45" customHeight="1" x14ac:dyDescent="0.15">
      <c r="B63" s="6"/>
      <c r="C63" s="5"/>
      <c r="D63" s="5"/>
      <c r="E63" s="5"/>
      <c r="F63" s="5"/>
      <c r="G63" s="5"/>
      <c r="N63" s="5"/>
    </row>
    <row r="64" spans="2:14" ht="14.45" customHeight="1" x14ac:dyDescent="0.15">
      <c r="B64" s="6" t="s">
        <v>3</v>
      </c>
      <c r="C64" s="5"/>
      <c r="D64" s="5"/>
      <c r="E64" s="5"/>
      <c r="F64" s="5"/>
      <c r="G64" s="5"/>
      <c r="N64" s="5"/>
    </row>
    <row r="65" spans="2:14" ht="14.45" customHeight="1" thickBot="1" x14ac:dyDescent="0.2">
      <c r="B65" s="6" t="s">
        <v>4</v>
      </c>
      <c r="C65" s="5"/>
      <c r="D65" s="5"/>
      <c r="E65" s="5"/>
      <c r="F65" s="5"/>
      <c r="G65" s="5"/>
      <c r="N65" s="5"/>
    </row>
    <row r="66" spans="2:14" ht="14.45" customHeight="1" x14ac:dyDescent="0.15">
      <c r="B66" s="72"/>
      <c r="C66" s="146" t="s">
        <v>25</v>
      </c>
      <c r="D66" s="146" t="s">
        <v>26</v>
      </c>
      <c r="E66" s="146" t="s">
        <v>27</v>
      </c>
      <c r="F66" s="147" t="s">
        <v>28</v>
      </c>
      <c r="G66" s="5"/>
      <c r="N66" s="5"/>
    </row>
    <row r="67" spans="2:14" ht="14.45" customHeight="1" x14ac:dyDescent="0.15">
      <c r="B67" s="74"/>
      <c r="C67" s="121"/>
      <c r="D67" s="122"/>
      <c r="E67" s="122"/>
      <c r="F67" s="123"/>
      <c r="G67" s="5"/>
      <c r="N67" s="5"/>
    </row>
    <row r="68" spans="2:14" ht="14.45" customHeight="1" x14ac:dyDescent="0.15">
      <c r="B68" s="152" t="s">
        <v>5</v>
      </c>
      <c r="C68" s="75">
        <f>C35</f>
        <v>17000</v>
      </c>
      <c r="D68" s="76">
        <f>D35</f>
        <v>11000</v>
      </c>
      <c r="E68" s="76">
        <f>E35</f>
        <v>6000</v>
      </c>
      <c r="F68" s="110">
        <f>SUM(C48:E48)</f>
        <v>34000</v>
      </c>
      <c r="G68" s="5"/>
      <c r="N68" s="5"/>
    </row>
    <row r="69" spans="2:14" ht="14.45" customHeight="1" x14ac:dyDescent="0.15">
      <c r="B69" s="152" t="s">
        <v>6</v>
      </c>
      <c r="C69" s="75">
        <f>C20</f>
        <v>5000</v>
      </c>
      <c r="D69" s="76">
        <f>C17</f>
        <v>25000</v>
      </c>
      <c r="E69" s="77"/>
      <c r="F69" s="110"/>
      <c r="G69" s="5"/>
      <c r="N69" s="5"/>
    </row>
    <row r="70" spans="2:14" ht="14.45" customHeight="1" x14ac:dyDescent="0.15">
      <c r="B70" s="153"/>
      <c r="C70" s="99"/>
      <c r="D70" s="100"/>
      <c r="E70" s="100"/>
      <c r="F70" s="124"/>
      <c r="G70" s="5"/>
      <c r="N70" s="5"/>
    </row>
    <row r="71" spans="2:14" ht="14.45" customHeight="1" x14ac:dyDescent="0.15">
      <c r="B71" s="152" t="s">
        <v>8</v>
      </c>
      <c r="C71" s="78">
        <f>J26</f>
        <v>890.00000000000011</v>
      </c>
      <c r="D71" s="79">
        <f>J27</f>
        <v>610</v>
      </c>
      <c r="E71" s="79">
        <f>J28+J29</f>
        <v>210</v>
      </c>
      <c r="F71" s="33">
        <f t="shared" ref="F71:F79" si="2">SUM(C51:E51)</f>
        <v>1710</v>
      </c>
      <c r="G71" s="5"/>
      <c r="N71" s="5"/>
    </row>
    <row r="72" spans="2:14" ht="14.45" customHeight="1" x14ac:dyDescent="0.15">
      <c r="B72" s="152" t="s">
        <v>9</v>
      </c>
      <c r="C72" s="78"/>
      <c r="D72" s="79"/>
      <c r="E72" s="14"/>
      <c r="F72" s="110">
        <f t="shared" si="2"/>
        <v>0</v>
      </c>
      <c r="G72" s="5"/>
      <c r="N72" s="5"/>
    </row>
    <row r="73" spans="2:14" ht="14.45" customHeight="1" x14ac:dyDescent="0.15">
      <c r="B73" s="152" t="s">
        <v>10</v>
      </c>
      <c r="C73" s="78">
        <f>J31</f>
        <v>-21.35</v>
      </c>
      <c r="D73" s="79">
        <f>J32</f>
        <v>-102.00000000000001</v>
      </c>
      <c r="E73" s="14"/>
      <c r="F73" s="110">
        <f t="shared" si="2"/>
        <v>-123.35000000000002</v>
      </c>
      <c r="G73" s="5"/>
      <c r="N73" s="5"/>
    </row>
    <row r="74" spans="2:14" ht="14.45" customHeight="1" x14ac:dyDescent="0.15">
      <c r="B74" s="152" t="s">
        <v>11</v>
      </c>
      <c r="C74" s="78"/>
      <c r="D74" s="79"/>
      <c r="E74" s="119"/>
      <c r="F74" s="110">
        <f t="shared" si="2"/>
        <v>0</v>
      </c>
      <c r="G74" s="5"/>
      <c r="N74" s="5"/>
    </row>
    <row r="75" spans="2:14" ht="14.45" customHeight="1" x14ac:dyDescent="0.15">
      <c r="B75" s="152" t="s">
        <v>13</v>
      </c>
      <c r="C75" s="78">
        <f>J34</f>
        <v>250</v>
      </c>
      <c r="D75" s="79">
        <f>J35</f>
        <v>150</v>
      </c>
      <c r="E75" s="79"/>
      <c r="F75" s="110">
        <f t="shared" si="2"/>
        <v>400</v>
      </c>
      <c r="G75" s="5"/>
      <c r="N75" s="5"/>
    </row>
    <row r="76" spans="2:14" ht="14.45" customHeight="1" x14ac:dyDescent="0.15">
      <c r="B76" s="152" t="s">
        <v>15</v>
      </c>
      <c r="C76" s="101">
        <f>-(C33)</f>
        <v>-166.66666666666666</v>
      </c>
      <c r="D76" s="102">
        <f>-(D33)</f>
        <v>-222.2222222222222</v>
      </c>
      <c r="E76" s="102">
        <f>-(E33)</f>
        <v>-11.111111111111111</v>
      </c>
      <c r="F76" s="110">
        <f t="shared" si="2"/>
        <v>-399.99999999999994</v>
      </c>
      <c r="G76" s="5"/>
      <c r="N76" s="5"/>
    </row>
    <row r="77" spans="2:14" ht="14.45" customHeight="1" x14ac:dyDescent="0.15">
      <c r="B77" s="152" t="s">
        <v>17</v>
      </c>
      <c r="C77" s="101">
        <f>-(C37)</f>
        <v>-65</v>
      </c>
      <c r="D77" s="102">
        <f>-(D37)</f>
        <v>-42.058823529411768</v>
      </c>
      <c r="E77" s="102">
        <f>-(E37)</f>
        <v>-22.941176470588236</v>
      </c>
      <c r="F77" s="110">
        <f t="shared" si="2"/>
        <v>-130</v>
      </c>
      <c r="G77" s="5"/>
      <c r="N77" s="5"/>
    </row>
    <row r="78" spans="2:14" ht="14.45" customHeight="1" x14ac:dyDescent="0.15">
      <c r="B78" s="152" t="s">
        <v>19</v>
      </c>
      <c r="C78" s="78">
        <f>-(C41)</f>
        <v>-46.15384615384616</v>
      </c>
      <c r="D78" s="79">
        <f>-(D41)</f>
        <v>-69.230769230769241</v>
      </c>
      <c r="E78" s="79">
        <f>-(E41)</f>
        <v>-4.6153846153846159</v>
      </c>
      <c r="F78" s="110">
        <f t="shared" si="2"/>
        <v>-120.00000000000001</v>
      </c>
      <c r="G78" s="5"/>
      <c r="N78" s="5"/>
    </row>
    <row r="79" spans="2:14" ht="14.45" customHeight="1" x14ac:dyDescent="0.15">
      <c r="B79" s="152" t="s">
        <v>21</v>
      </c>
      <c r="C79" s="120">
        <f>-L22</f>
        <v>-178</v>
      </c>
      <c r="D79" s="115">
        <f>-M22</f>
        <v>-195</v>
      </c>
      <c r="E79" s="115"/>
      <c r="F79" s="125">
        <f t="shared" si="2"/>
        <v>-373</v>
      </c>
      <c r="G79" s="5"/>
      <c r="N79" s="5"/>
    </row>
    <row r="80" spans="2:14" ht="14.45" customHeight="1" x14ac:dyDescent="0.15">
      <c r="B80" s="148" t="s">
        <v>23</v>
      </c>
      <c r="C80" s="126">
        <f>SUM(C71:C79)</f>
        <v>662.82948717948727</v>
      </c>
      <c r="D80" s="127">
        <f t="shared" ref="D80:F80" si="3">SUM(D71:D79)</f>
        <v>129.48818501759683</v>
      </c>
      <c r="E80" s="127">
        <f t="shared" si="3"/>
        <v>171.33232780291604</v>
      </c>
      <c r="F80" s="112">
        <f t="shared" si="3"/>
        <v>963.65000000000009</v>
      </c>
      <c r="G80" s="5"/>
      <c r="N80" s="5"/>
    </row>
    <row r="81" spans="1:15" ht="14.45" customHeight="1" thickBot="1" x14ac:dyDescent="0.2">
      <c r="B81" s="154" t="s">
        <v>24</v>
      </c>
      <c r="C81" s="116">
        <f>C80/C68</f>
        <v>3.8989969834087486E-2</v>
      </c>
      <c r="D81" s="117">
        <f>D80/D68</f>
        <v>1.1771653183417894E-2</v>
      </c>
      <c r="E81" s="117">
        <f t="shared" ref="E81:F81" si="4">E80/E68</f>
        <v>2.8555387967152672E-2</v>
      </c>
      <c r="F81" s="118">
        <f t="shared" si="4"/>
        <v>2.8342647058823531E-2</v>
      </c>
      <c r="G81" s="5"/>
      <c r="N81" s="5"/>
    </row>
    <row r="82" spans="1:15" ht="14.45" customHeight="1" x14ac:dyDescent="0.15">
      <c r="B82" s="137"/>
      <c r="C82" s="131"/>
      <c r="D82" s="131"/>
      <c r="E82" s="131"/>
      <c r="F82" s="131"/>
      <c r="G82" s="5"/>
      <c r="N82" s="5"/>
    </row>
    <row r="83" spans="1:15" ht="14.45" customHeight="1" x14ac:dyDescent="0.15">
      <c r="B83" s="132"/>
      <c r="C83" s="131"/>
      <c r="D83" s="131"/>
      <c r="E83" s="131"/>
      <c r="F83" s="131"/>
      <c r="G83" s="5"/>
      <c r="N83" s="5"/>
    </row>
    <row r="84" spans="1:15" ht="14.45" customHeight="1" thickBot="1" x14ac:dyDescent="0.2">
      <c r="B84" s="7" t="s">
        <v>30</v>
      </c>
      <c r="G84" s="5"/>
      <c r="N84" s="5"/>
    </row>
    <row r="85" spans="1:15" ht="14.45" customHeight="1" x14ac:dyDescent="0.15">
      <c r="A85" s="5"/>
      <c r="B85" s="72" t="s">
        <v>1</v>
      </c>
      <c r="C85" s="146" t="s">
        <v>25</v>
      </c>
      <c r="D85" s="146" t="s">
        <v>26</v>
      </c>
      <c r="E85" s="170" t="s">
        <v>27</v>
      </c>
      <c r="F85" s="171"/>
      <c r="G85" s="114" t="s">
        <v>28</v>
      </c>
      <c r="N85" s="5"/>
      <c r="O85" s="73"/>
    </row>
    <row r="86" spans="1:15" ht="15.95" customHeight="1" x14ac:dyDescent="0.15">
      <c r="A86" s="5"/>
      <c r="B86" s="74"/>
      <c r="C86" s="97"/>
      <c r="D86" s="98"/>
      <c r="E86" s="167" t="s">
        <v>29</v>
      </c>
      <c r="F86" s="155" t="s">
        <v>104</v>
      </c>
      <c r="G86" s="109"/>
      <c r="N86" s="5"/>
    </row>
    <row r="87" spans="1:15" ht="14.45" customHeight="1" x14ac:dyDescent="0.15">
      <c r="A87" s="5"/>
      <c r="B87" s="152" t="s">
        <v>5</v>
      </c>
      <c r="C87" s="75">
        <f>亚得里亚海银行任务!C48</f>
        <v>17000</v>
      </c>
      <c r="D87" s="76">
        <f>亚得里亚海银行任务!D48</f>
        <v>11000</v>
      </c>
      <c r="E87" s="76">
        <f>E48</f>
        <v>6000</v>
      </c>
      <c r="F87" s="76"/>
      <c r="G87" s="110">
        <f>SUM(C87:F87)</f>
        <v>34000</v>
      </c>
      <c r="N87" s="5" t="s">
        <v>1</v>
      </c>
    </row>
    <row r="88" spans="1:15" ht="14.45" customHeight="1" x14ac:dyDescent="0.15">
      <c r="A88" s="5"/>
      <c r="B88" s="152" t="s">
        <v>6</v>
      </c>
      <c r="C88" s="75">
        <f>亚得里亚海银行任务!C49</f>
        <v>5000</v>
      </c>
      <c r="D88" s="76">
        <f>亚得里亚海银行任务!D49</f>
        <v>25000</v>
      </c>
      <c r="E88" s="77"/>
      <c r="F88" s="77"/>
      <c r="G88" s="110">
        <f>SUM(C88:F88)</f>
        <v>30000</v>
      </c>
      <c r="N88" s="5"/>
    </row>
    <row r="89" spans="1:15" ht="14.45" customHeight="1" x14ac:dyDescent="0.15">
      <c r="A89" s="5"/>
      <c r="B89" s="153"/>
      <c r="C89" s="99"/>
      <c r="D89" s="100"/>
      <c r="E89" s="100"/>
      <c r="F89" s="100"/>
      <c r="G89" s="110"/>
      <c r="N89" s="5"/>
    </row>
    <row r="90" spans="1:15" ht="14.45" customHeight="1" x14ac:dyDescent="0.15">
      <c r="A90" s="5"/>
      <c r="B90" s="152" t="s">
        <v>8</v>
      </c>
      <c r="C90" s="78">
        <f>亚得里亚海银行任务!C51</f>
        <v>890.00000000000011</v>
      </c>
      <c r="D90" s="79">
        <f>亚得里亚海银行任务!D51</f>
        <v>610</v>
      </c>
      <c r="E90" s="133">
        <f>E51</f>
        <v>210</v>
      </c>
      <c r="F90" s="79"/>
      <c r="G90" s="110">
        <f t="shared" ref="G90:G98" si="5">SUM(C90:F90)</f>
        <v>1710</v>
      </c>
      <c r="N90" s="5"/>
    </row>
    <row r="91" spans="1:15" ht="14.45" customHeight="1" x14ac:dyDescent="0.15">
      <c r="A91" s="5"/>
      <c r="B91" s="152" t="s">
        <v>9</v>
      </c>
      <c r="C91" s="101">
        <f>C52</f>
        <v>-510.00000000000006</v>
      </c>
      <c r="D91" s="102">
        <f>D52</f>
        <v>-420</v>
      </c>
      <c r="E91" s="134">
        <f>-(C7*L12)-C6*L5</f>
        <v>-210</v>
      </c>
      <c r="F91" s="14">
        <f>-SUM(C91:E91)</f>
        <v>1140</v>
      </c>
      <c r="G91" s="110">
        <f t="shared" si="5"/>
        <v>0</v>
      </c>
      <c r="N91" s="5"/>
    </row>
    <row r="92" spans="1:15" ht="14.45" customHeight="1" x14ac:dyDescent="0.15">
      <c r="A92" s="5"/>
      <c r="B92" s="152" t="s">
        <v>10</v>
      </c>
      <c r="C92" s="101">
        <f>亚得里亚海银行任务!C53</f>
        <v>-21.35</v>
      </c>
      <c r="D92" s="102">
        <f>亚得里亚海银行任务!D53</f>
        <v>-102.00000000000001</v>
      </c>
      <c r="E92" s="14"/>
      <c r="F92" s="14"/>
      <c r="G92" s="110">
        <f t="shared" si="5"/>
        <v>-123.35000000000002</v>
      </c>
      <c r="N92" s="5"/>
    </row>
    <row r="93" spans="1:15" ht="14.45" customHeight="1" x14ac:dyDescent="0.15">
      <c r="A93" s="5"/>
      <c r="B93" s="152" t="s">
        <v>11</v>
      </c>
      <c r="C93" s="101">
        <f>C54</f>
        <v>60.5</v>
      </c>
      <c r="D93" s="102">
        <f>D54</f>
        <v>320</v>
      </c>
      <c r="E93" s="14"/>
      <c r="F93" s="14">
        <f>-(SUM(C93:E93))</f>
        <v>-380.5</v>
      </c>
      <c r="G93" s="110">
        <f t="shared" si="5"/>
        <v>0</v>
      </c>
      <c r="N93" s="5"/>
    </row>
    <row r="94" spans="1:15" ht="14.45" customHeight="1" x14ac:dyDescent="0.15">
      <c r="A94" s="5"/>
      <c r="B94" s="152" t="s">
        <v>13</v>
      </c>
      <c r="C94" s="101">
        <f>亚得里亚海银行任务!C55</f>
        <v>250</v>
      </c>
      <c r="D94" s="102">
        <f>亚得里亚海银行任务!D55</f>
        <v>150</v>
      </c>
      <c r="E94" s="19"/>
      <c r="F94" s="102"/>
      <c r="G94" s="110">
        <f t="shared" si="5"/>
        <v>400</v>
      </c>
      <c r="N94" s="5"/>
    </row>
    <row r="95" spans="1:15" ht="14.45" customHeight="1" x14ac:dyDescent="0.15">
      <c r="A95" s="5"/>
      <c r="B95" s="152" t="s">
        <v>15</v>
      </c>
      <c r="C95" s="101">
        <f>亚得里亚海银行任务!C56</f>
        <v>-166.66666666666666</v>
      </c>
      <c r="D95" s="102">
        <f>亚得里亚海银行任务!D56</f>
        <v>-222.2222222222222</v>
      </c>
      <c r="E95" s="130">
        <f>E56/2</f>
        <v>-5.5555555555555554</v>
      </c>
      <c r="F95" s="130">
        <f>E95</f>
        <v>-5.5555555555555554</v>
      </c>
      <c r="G95" s="110">
        <f t="shared" si="5"/>
        <v>-399.99999999999994</v>
      </c>
      <c r="I95" s="129" t="s">
        <v>1</v>
      </c>
      <c r="N95" s="5"/>
    </row>
    <row r="96" spans="1:15" ht="14.45" customHeight="1" x14ac:dyDescent="0.15">
      <c r="A96" s="5"/>
      <c r="B96" s="152" t="s">
        <v>17</v>
      </c>
      <c r="C96" s="101">
        <f>亚得里亚海银行任务!C57</f>
        <v>-65</v>
      </c>
      <c r="D96" s="102">
        <f>亚得里亚海银行任务!D57</f>
        <v>-42.058823529411768</v>
      </c>
      <c r="E96" s="130">
        <f>E57/2</f>
        <v>-11.470588235294118</v>
      </c>
      <c r="F96" s="130">
        <f>E96</f>
        <v>-11.470588235294118</v>
      </c>
      <c r="G96" s="110">
        <f t="shared" si="5"/>
        <v>-130</v>
      </c>
      <c r="N96" s="5"/>
    </row>
    <row r="97" spans="1:14" ht="14.45" customHeight="1" x14ac:dyDescent="0.15">
      <c r="A97" s="5"/>
      <c r="B97" s="152" t="s">
        <v>19</v>
      </c>
      <c r="C97" s="101">
        <f>亚得里亚海银行任务!C58</f>
        <v>-46.15384615384616</v>
      </c>
      <c r="D97" s="102">
        <f>亚得里亚海银行任务!D58</f>
        <v>-69.230769230769241</v>
      </c>
      <c r="E97" s="130">
        <f>E58/2</f>
        <v>-2.3076923076923079</v>
      </c>
      <c r="F97" s="130">
        <f>E97</f>
        <v>-2.3076923076923079</v>
      </c>
      <c r="G97" s="110">
        <f t="shared" si="5"/>
        <v>-120.00000000000001</v>
      </c>
      <c r="N97" s="5"/>
    </row>
    <row r="98" spans="1:14" ht="14.45" customHeight="1" x14ac:dyDescent="0.15">
      <c r="A98" s="5"/>
      <c r="B98" s="152" t="s">
        <v>21</v>
      </c>
      <c r="C98" s="103">
        <f>亚得里亚海银行任务!C59</f>
        <v>-178</v>
      </c>
      <c r="D98" s="104">
        <f>亚得里亚海银行任务!D59</f>
        <v>-195</v>
      </c>
      <c r="E98" s="115"/>
      <c r="F98" s="115"/>
      <c r="G98" s="111">
        <f t="shared" si="5"/>
        <v>-373</v>
      </c>
      <c r="N98" s="5"/>
    </row>
    <row r="99" spans="1:14" ht="14.45" customHeight="1" x14ac:dyDescent="0.15">
      <c r="A99" s="5"/>
      <c r="B99" s="148" t="s">
        <v>23</v>
      </c>
      <c r="C99" s="105">
        <f>SUM(C90:C98)</f>
        <v>213.32948717948727</v>
      </c>
      <c r="D99" s="106">
        <f>SUM(D90:D98)</f>
        <v>29.488185017596834</v>
      </c>
      <c r="E99" s="106">
        <f>SUM(E90:E98)</f>
        <v>-19.33383609854198</v>
      </c>
      <c r="F99" s="106">
        <f>SUM(F90:F98)</f>
        <v>740.16616390145805</v>
      </c>
      <c r="G99" s="112">
        <f>SUM(G90:G98)</f>
        <v>963.65000000000009</v>
      </c>
      <c r="H99" s="5"/>
    </row>
    <row r="100" spans="1:14" ht="14.45" customHeight="1" thickBot="1" x14ac:dyDescent="0.2">
      <c r="A100" s="5"/>
      <c r="B100" s="154" t="s">
        <v>24</v>
      </c>
      <c r="C100" s="107">
        <f>C99/C87</f>
        <v>1.2548793363499251E-2</v>
      </c>
      <c r="D100" s="108">
        <f>D99/D87</f>
        <v>2.6807440925088032E-3</v>
      </c>
      <c r="E100" s="108">
        <f>E99/E87</f>
        <v>-3.2223060164236631E-3</v>
      </c>
      <c r="F100" s="108"/>
      <c r="G100" s="113">
        <f>G99/G87</f>
        <v>2.8342647058823531E-2</v>
      </c>
    </row>
    <row r="101" spans="1:14" ht="14.45" customHeight="1" x14ac:dyDescent="0.15">
      <c r="A101" s="5"/>
      <c r="D101" s="80"/>
    </row>
    <row r="102" spans="1:14" ht="14.45" customHeight="1" x14ac:dyDescent="0.15">
      <c r="A102" s="5"/>
      <c r="D102" s="5"/>
    </row>
    <row r="103" spans="1:14" ht="14.45" customHeight="1" x14ac:dyDescent="0.15">
      <c r="A103" s="5"/>
      <c r="D103" s="5"/>
    </row>
    <row r="104" spans="1:14" ht="14.45" customHeight="1" x14ac:dyDescent="0.15">
      <c r="A104" s="5"/>
      <c r="B104" s="129" t="s">
        <v>31</v>
      </c>
      <c r="D104" s="5"/>
    </row>
    <row r="107" spans="1:14" ht="14.45" customHeight="1" x14ac:dyDescent="0.15">
      <c r="A107" s="129" t="s">
        <v>1</v>
      </c>
      <c r="E107" s="4" t="s">
        <v>1</v>
      </c>
    </row>
    <row r="115" spans="4:12" ht="14.45" customHeight="1" x14ac:dyDescent="0.15">
      <c r="G115" s="5"/>
    </row>
    <row r="118" spans="4:12" ht="14.45" customHeight="1" x14ac:dyDescent="0.15">
      <c r="D118" s="81"/>
    </row>
    <row r="126" spans="4:12" ht="14.45" customHeight="1" x14ac:dyDescent="0.15">
      <c r="L126" s="4" t="s">
        <v>1</v>
      </c>
    </row>
    <row r="127" spans="4:12" ht="14.45" customHeight="1" x14ac:dyDescent="0.15">
      <c r="H127" s="82"/>
      <c r="L127" s="4" t="s">
        <v>1</v>
      </c>
    </row>
    <row r="128" spans="4:12" ht="14.45" customHeight="1" x14ac:dyDescent="0.15">
      <c r="G128" s="73"/>
      <c r="H128" s="82"/>
      <c r="I128" s="82"/>
      <c r="J128" s="82"/>
      <c r="K128" s="82"/>
    </row>
    <row r="129" spans="7:11" ht="14.45" customHeight="1" x14ac:dyDescent="0.15">
      <c r="G129" s="73"/>
      <c r="H129" s="5"/>
      <c r="I129" s="82"/>
      <c r="J129" s="82"/>
      <c r="K129" s="82"/>
    </row>
    <row r="130" spans="7:11" ht="14.45" customHeight="1" x14ac:dyDescent="0.15">
      <c r="G130" s="5"/>
      <c r="H130" s="5" t="s">
        <v>1</v>
      </c>
      <c r="I130" s="5"/>
      <c r="J130" s="5"/>
      <c r="K130" s="5"/>
    </row>
    <row r="131" spans="7:11" ht="14.45" customHeight="1" x14ac:dyDescent="0.15">
      <c r="H131" s="83"/>
      <c r="I131" s="5"/>
      <c r="J131" s="5"/>
      <c r="K131" s="5"/>
    </row>
    <row r="132" spans="7:11" ht="14.45" customHeight="1" x14ac:dyDescent="0.15">
      <c r="H132" s="84"/>
      <c r="I132" s="83"/>
      <c r="J132" s="83"/>
      <c r="K132" s="83"/>
    </row>
    <row r="133" spans="7:11" ht="14.45" customHeight="1" x14ac:dyDescent="0.15">
      <c r="H133" s="84"/>
      <c r="I133" s="84"/>
      <c r="J133" s="84"/>
      <c r="K133" s="84"/>
    </row>
    <row r="134" spans="7:11" ht="14.45" customHeight="1" x14ac:dyDescent="0.15">
      <c r="G134" s="73"/>
      <c r="H134" s="85"/>
      <c r="I134" s="84"/>
      <c r="J134" s="86"/>
      <c r="K134" s="84"/>
    </row>
    <row r="135" spans="7:11" ht="14.45" customHeight="1" x14ac:dyDescent="0.15">
      <c r="G135" s="87"/>
      <c r="H135" s="88"/>
      <c r="I135" s="85"/>
      <c r="J135" s="85"/>
      <c r="K135" s="86"/>
    </row>
    <row r="136" spans="7:11" ht="14.45" customHeight="1" x14ac:dyDescent="0.15">
      <c r="G136" s="73"/>
      <c r="H136" s="73"/>
      <c r="I136" s="88"/>
      <c r="J136" s="88"/>
      <c r="K136" s="84"/>
    </row>
    <row r="137" spans="7:11" ht="14.45" customHeight="1" x14ac:dyDescent="0.15">
      <c r="G137" s="73"/>
      <c r="H137" s="89"/>
      <c r="I137" s="88"/>
      <c r="J137" s="90"/>
      <c r="K137" s="91"/>
    </row>
    <row r="138" spans="7:11" ht="14.45" customHeight="1" x14ac:dyDescent="0.15">
      <c r="G138" s="73"/>
      <c r="H138" s="73"/>
      <c r="I138" s="89"/>
      <c r="J138" s="57"/>
      <c r="K138" s="92"/>
    </row>
    <row r="139" spans="7:11" ht="14.45" customHeight="1" x14ac:dyDescent="0.15">
      <c r="G139" s="73"/>
      <c r="H139" s="88"/>
      <c r="I139" s="88"/>
      <c r="J139" s="57"/>
      <c r="K139" s="91"/>
    </row>
    <row r="140" spans="7:11" ht="14.45" customHeight="1" x14ac:dyDescent="0.15">
      <c r="G140" s="73"/>
      <c r="H140" s="93"/>
      <c r="I140" s="88"/>
      <c r="J140" s="88"/>
      <c r="K140" s="84"/>
    </row>
    <row r="141" spans="7:11" ht="14.45" customHeight="1" x14ac:dyDescent="0.15">
      <c r="G141" s="94"/>
      <c r="H141" s="93"/>
      <c r="I141" s="93"/>
      <c r="J141" s="93"/>
      <c r="K141" s="84"/>
    </row>
    <row r="142" spans="7:11" ht="14.45" customHeight="1" x14ac:dyDescent="0.15">
      <c r="G142" s="94"/>
      <c r="H142" s="95"/>
      <c r="I142" s="93"/>
      <c r="J142" s="93"/>
      <c r="K142" s="84"/>
    </row>
    <row r="143" spans="7:11" ht="14.45" customHeight="1" x14ac:dyDescent="0.15">
      <c r="G143" s="73"/>
      <c r="H143" s="88"/>
      <c r="I143" s="95"/>
      <c r="J143" s="95"/>
      <c r="K143" s="84"/>
    </row>
    <row r="144" spans="7:11" ht="14.45" customHeight="1" x14ac:dyDescent="0.15">
      <c r="G144" s="73"/>
      <c r="H144" s="95"/>
      <c r="I144" s="88"/>
      <c r="J144" s="88"/>
      <c r="K144" s="88"/>
    </row>
    <row r="145" spans="7:11" ht="14.45" customHeight="1" x14ac:dyDescent="0.15">
      <c r="G145" s="73"/>
      <c r="H145" s="82"/>
      <c r="I145" s="95"/>
      <c r="J145" s="95"/>
      <c r="K145" s="95"/>
    </row>
    <row r="146" spans="7:11" ht="14.45" customHeight="1" x14ac:dyDescent="0.15">
      <c r="G146" s="73"/>
      <c r="H146" s="5"/>
      <c r="I146" s="82"/>
      <c r="J146" s="82"/>
      <c r="K146" s="82"/>
    </row>
    <row r="147" spans="7:11" ht="14.45" customHeight="1" x14ac:dyDescent="0.15">
      <c r="G147" s="5"/>
      <c r="H147" s="5"/>
      <c r="I147" s="5"/>
      <c r="J147" s="5"/>
      <c r="K147" s="5"/>
    </row>
    <row r="148" spans="7:11" ht="14.45" customHeight="1" x14ac:dyDescent="0.15">
      <c r="G148" s="5"/>
      <c r="H148" s="5"/>
      <c r="I148" s="5"/>
      <c r="J148" s="5"/>
      <c r="K148" s="5"/>
    </row>
    <row r="149" spans="7:11" ht="14.45" customHeight="1" x14ac:dyDescent="0.15">
      <c r="G149" s="5"/>
      <c r="H149" s="5"/>
      <c r="I149" s="5"/>
      <c r="J149" s="5"/>
      <c r="K149" s="5"/>
    </row>
    <row r="150" spans="7:11" ht="14.45" customHeight="1" x14ac:dyDescent="0.15">
      <c r="G150" s="5"/>
      <c r="H150" s="5"/>
      <c r="I150" s="5"/>
      <c r="J150" s="5"/>
      <c r="K150" s="5"/>
    </row>
    <row r="151" spans="7:11" ht="14.45" customHeight="1" x14ac:dyDescent="0.15">
      <c r="G151" s="5"/>
      <c r="I151" s="5"/>
      <c r="J151" s="5"/>
      <c r="K151" s="5"/>
    </row>
    <row r="153" spans="7:11" ht="14.45" customHeight="1" x14ac:dyDescent="0.15">
      <c r="G153" s="4" t="s">
        <v>1</v>
      </c>
    </row>
  </sheetData>
  <mergeCells count="2">
    <mergeCell ref="L16:M16"/>
    <mergeCell ref="E85:F85"/>
  </mergeCells>
  <phoneticPr fontId="10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ColWidth="11.42578125" defaultRowHeight="12.75" x14ac:dyDescent="0.2"/>
  <cols>
    <col min="2" max="2" width="10.85546875" customWidth="1"/>
  </cols>
  <sheetData/>
  <phoneticPr fontId="10" type="noConversion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亚得里亚海银行任务</vt:lpstr>
      <vt:lpstr>Sheet1</vt:lpstr>
    </vt:vector>
  </TitlesOfParts>
  <Company>Abanka Vipa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Slapničar</dc:creator>
  <cp:lastModifiedBy>Diros</cp:lastModifiedBy>
  <dcterms:created xsi:type="dcterms:W3CDTF">2018-12-30T10:48:48Z</dcterms:created>
  <dcterms:modified xsi:type="dcterms:W3CDTF">2022-11-19T07:51:12Z</dcterms:modified>
</cp:coreProperties>
</file>